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ИТАНИЕ\Питание 23год\Питание -2023\"/>
    </mc:Choice>
  </mc:AlternateContent>
  <bookViews>
    <workbookView xWindow="0" yWindow="0" windowWidth="19200" windowHeight="11595" tabRatio="725"/>
  </bookViews>
  <sheets>
    <sheet name="Титульный лист" sheetId="4" r:id="rId1"/>
    <sheet name="1 день" sheetId="5" r:id="rId2"/>
    <sheet name="2 день" sheetId="9" r:id="rId3"/>
    <sheet name="3 день" sheetId="8" r:id="rId4"/>
    <sheet name="4 день" sheetId="6" r:id="rId5"/>
    <sheet name="5 день" sheetId="7" r:id="rId6"/>
    <sheet name="6 день" sheetId="10" r:id="rId7"/>
    <sheet name="7 день" sheetId="11" r:id="rId8"/>
    <sheet name="8 день" sheetId="12" r:id="rId9"/>
    <sheet name="9 день" sheetId="14" r:id="rId10"/>
    <sheet name=" 10 день" sheetId="13" r:id="rId11"/>
  </sheets>
  <definedNames>
    <definedName name="_xlnm.Print_Area" localSheetId="10">' 10 день'!$A$1:$O$27</definedName>
    <definedName name="_xlnm.Print_Area" localSheetId="1">'1 день'!$A$1:$O$28</definedName>
    <definedName name="_xlnm.Print_Area" localSheetId="2">'2 день'!$A$1:$O$27</definedName>
    <definedName name="_xlnm.Print_Area" localSheetId="3">'3 день'!$A$1:$O$28</definedName>
    <definedName name="_xlnm.Print_Area" localSheetId="4">'4 день'!$A$1:$O$34</definedName>
    <definedName name="_xlnm.Print_Area" localSheetId="5">'5 день'!$A$1:$O$27</definedName>
    <definedName name="_xlnm.Print_Area" localSheetId="6">'6 день'!$A$1:$O$27</definedName>
    <definedName name="_xlnm.Print_Area" localSheetId="7">'7 день'!$A$1:$O$28</definedName>
    <definedName name="_xlnm.Print_Area" localSheetId="8">'8 день'!$A$1:$O$27</definedName>
    <definedName name="_xlnm.Print_Area" localSheetId="9">'9 день'!$A$1:$O$27</definedName>
    <definedName name="_xlnm.Print_Area" localSheetId="0">'Титульный лист'!$A$1:$O$24</definedName>
  </definedNames>
  <calcPr calcId="162913"/>
</workbook>
</file>

<file path=xl/calcChain.xml><?xml version="1.0" encoding="utf-8"?>
<calcChain xmlns="http://schemas.openxmlformats.org/spreadsheetml/2006/main">
  <c r="O17" i="13" l="1"/>
  <c r="N17" i="13"/>
  <c r="M17" i="13"/>
  <c r="L17" i="13"/>
  <c r="K17" i="13"/>
  <c r="H17" i="13"/>
  <c r="G17" i="13"/>
  <c r="F17" i="13"/>
  <c r="K12" i="13"/>
  <c r="J12" i="13"/>
  <c r="H12" i="13"/>
  <c r="O16" i="14"/>
  <c r="N16" i="14"/>
  <c r="M16" i="14"/>
  <c r="L16" i="14"/>
  <c r="K16" i="14"/>
  <c r="H16" i="14"/>
  <c r="G16" i="14"/>
  <c r="F16" i="14"/>
  <c r="E16" i="14"/>
  <c r="D16" i="14"/>
  <c r="O17" i="11"/>
  <c r="N17" i="11"/>
  <c r="M17" i="11"/>
  <c r="L17" i="11"/>
  <c r="K17" i="11"/>
  <c r="H17" i="11"/>
  <c r="G17" i="11"/>
  <c r="F17" i="11"/>
  <c r="E17" i="11"/>
  <c r="D17" i="11"/>
  <c r="K13" i="11"/>
  <c r="J13" i="11"/>
  <c r="H13" i="11"/>
  <c r="K12" i="10"/>
  <c r="J12" i="10"/>
  <c r="H12" i="10"/>
  <c r="O17" i="6"/>
  <c r="N17" i="6"/>
  <c r="M17" i="6"/>
  <c r="L17" i="6"/>
  <c r="K17" i="6"/>
  <c r="H17" i="6"/>
  <c r="G17" i="6"/>
  <c r="F17" i="6"/>
  <c r="K12" i="7" l="1"/>
  <c r="J12" i="7"/>
  <c r="H12" i="7"/>
  <c r="O15" i="6"/>
  <c r="N15" i="6"/>
  <c r="M15" i="6"/>
  <c r="L15" i="6"/>
  <c r="K15" i="6"/>
  <c r="I15" i="6"/>
  <c r="H15" i="6"/>
  <c r="G15" i="6"/>
  <c r="F15" i="6"/>
  <c r="E15" i="6"/>
  <c r="D15" i="6"/>
  <c r="O15" i="7"/>
  <c r="N15" i="7"/>
  <c r="M15" i="7"/>
  <c r="L15" i="7"/>
  <c r="K15" i="7"/>
  <c r="I15" i="7"/>
  <c r="H15" i="7"/>
  <c r="G15" i="7"/>
  <c r="F15" i="7"/>
  <c r="E15" i="7"/>
  <c r="D15" i="7"/>
  <c r="O15" i="13"/>
  <c r="N15" i="13"/>
  <c r="M15" i="13"/>
  <c r="L15" i="13"/>
  <c r="K15" i="13"/>
  <c r="I15" i="13"/>
  <c r="H15" i="13"/>
  <c r="G15" i="13"/>
  <c r="F15" i="13"/>
  <c r="E15" i="13"/>
  <c r="D15" i="13"/>
  <c r="G20" i="13" l="1"/>
  <c r="F20" i="13"/>
  <c r="E20" i="13"/>
  <c r="D20" i="13"/>
  <c r="F13" i="7" l="1"/>
  <c r="K12" i="6"/>
  <c r="J12" i="6"/>
  <c r="H12" i="6"/>
  <c r="G13" i="6"/>
  <c r="F13" i="6"/>
  <c r="E13" i="6"/>
  <c r="D13" i="6"/>
  <c r="K18" i="6"/>
  <c r="J18" i="6"/>
  <c r="H18" i="6"/>
  <c r="D13" i="7" l="1"/>
  <c r="G13" i="7"/>
  <c r="E13" i="7"/>
  <c r="D13" i="14" l="1"/>
  <c r="E13" i="14"/>
  <c r="F13" i="14"/>
  <c r="G13" i="14"/>
  <c r="M19" i="8"/>
  <c r="G20" i="7"/>
  <c r="G21" i="7" s="1"/>
  <c r="F20" i="7"/>
  <c r="F21" i="7" s="1"/>
  <c r="E20" i="7"/>
  <c r="E21" i="7" s="1"/>
  <c r="D20" i="7"/>
  <c r="D21" i="7" s="1"/>
  <c r="O16" i="8"/>
  <c r="N16" i="8"/>
  <c r="M16" i="8"/>
  <c r="L16" i="8"/>
  <c r="K16" i="8"/>
  <c r="I16" i="8"/>
  <c r="H16" i="8"/>
  <c r="G16" i="8"/>
  <c r="F16" i="8"/>
  <c r="E16" i="8"/>
  <c r="D16" i="8"/>
  <c r="J18" i="10" l="1"/>
  <c r="K12" i="12"/>
  <c r="J12" i="12"/>
  <c r="H12" i="12"/>
  <c r="K18" i="9"/>
  <c r="J18" i="9"/>
  <c r="H18" i="9"/>
  <c r="D13" i="12" l="1"/>
  <c r="F13" i="12"/>
  <c r="E13" i="12"/>
  <c r="G13" i="12"/>
  <c r="O16" i="5" l="1"/>
  <c r="N16" i="5"/>
  <c r="M16" i="5"/>
  <c r="L16" i="5"/>
  <c r="K16" i="5"/>
  <c r="I16" i="5"/>
  <c r="H16" i="5"/>
  <c r="G16" i="5"/>
  <c r="F16" i="5"/>
  <c r="E16" i="5"/>
  <c r="D16" i="5"/>
  <c r="O15" i="10"/>
  <c r="N15" i="10"/>
  <c r="M15" i="10"/>
  <c r="L15" i="10"/>
  <c r="K15" i="10"/>
  <c r="I15" i="10"/>
  <c r="H15" i="10"/>
  <c r="G15" i="10"/>
  <c r="F15" i="10"/>
  <c r="E15" i="10"/>
  <c r="D15" i="10"/>
  <c r="G15" i="14"/>
  <c r="O15" i="14" l="1"/>
  <c r="N15" i="14"/>
  <c r="M15" i="14"/>
  <c r="L15" i="14"/>
  <c r="K15" i="14"/>
  <c r="I15" i="14"/>
  <c r="H15" i="14"/>
  <c r="F15" i="14"/>
  <c r="E15" i="14"/>
  <c r="D15" i="14"/>
  <c r="G21" i="11"/>
  <c r="F21" i="11"/>
  <c r="E21" i="11"/>
  <c r="D21" i="11"/>
  <c r="O17" i="10"/>
  <c r="N17" i="10"/>
  <c r="M17" i="10"/>
  <c r="L17" i="10"/>
  <c r="K17" i="10"/>
  <c r="H17" i="10"/>
  <c r="G17" i="10"/>
  <c r="F17" i="10"/>
  <c r="E17" i="10"/>
  <c r="D17" i="10"/>
  <c r="O17" i="9"/>
  <c r="N17" i="9"/>
  <c r="M17" i="9"/>
  <c r="L17" i="9"/>
  <c r="K17" i="9"/>
  <c r="G20" i="9"/>
  <c r="F20" i="9"/>
  <c r="E17" i="9"/>
  <c r="E20" i="9" s="1"/>
  <c r="D20" i="9"/>
  <c r="G20" i="14" l="1"/>
  <c r="G21" i="14" s="1"/>
  <c r="D20" i="14"/>
  <c r="D21" i="14" s="1"/>
  <c r="F20" i="14"/>
  <c r="F21" i="14" s="1"/>
  <c r="E20" i="14"/>
  <c r="E21" i="14" s="1"/>
  <c r="E13" i="10"/>
  <c r="G13" i="10"/>
  <c r="E20" i="10"/>
  <c r="G20" i="10"/>
  <c r="D13" i="10"/>
  <c r="F13" i="10"/>
  <c r="D20" i="10"/>
  <c r="F20" i="10"/>
  <c r="D13" i="9"/>
  <c r="D21" i="9" s="1"/>
  <c r="G26" i="9" s="1"/>
  <c r="F13" i="9"/>
  <c r="F21" i="9" s="1"/>
  <c r="I26" i="9" s="1"/>
  <c r="E13" i="9"/>
  <c r="E21" i="9" s="1"/>
  <c r="H26" i="9" s="1"/>
  <c r="G13" i="9"/>
  <c r="G21" i="9" s="1"/>
  <c r="J26" i="9" s="1"/>
  <c r="G21" i="8"/>
  <c r="F21" i="8"/>
  <c r="E21" i="8"/>
  <c r="D21" i="8"/>
  <c r="F21" i="10" l="1"/>
  <c r="H26" i="10" s="1"/>
  <c r="D21" i="10"/>
  <c r="F26" i="10" s="1"/>
  <c r="G21" i="10"/>
  <c r="E21" i="10"/>
  <c r="G26" i="10" s="1"/>
  <c r="G20" i="12"/>
  <c r="G21" i="12" s="1"/>
  <c r="O17" i="5"/>
  <c r="N17" i="5"/>
  <c r="M17" i="5"/>
  <c r="L17" i="5"/>
  <c r="K17" i="5"/>
  <c r="G21" i="5"/>
  <c r="F21" i="5"/>
  <c r="E21" i="5"/>
  <c r="D21" i="5"/>
  <c r="E13" i="13" l="1"/>
  <c r="E21" i="13" s="1"/>
  <c r="G26" i="13" s="1"/>
  <c r="G13" i="13"/>
  <c r="G21" i="13" s="1"/>
  <c r="I26" i="13" s="1"/>
  <c r="D13" i="13"/>
  <c r="D21" i="13" s="1"/>
  <c r="F26" i="13" s="1"/>
  <c r="F13" i="13"/>
  <c r="F21" i="13" s="1"/>
  <c r="H26" i="13" s="1"/>
  <c r="E20" i="12"/>
  <c r="E21" i="12" s="1"/>
  <c r="G26" i="12" s="1"/>
  <c r="D20" i="12"/>
  <c r="D21" i="12" s="1"/>
  <c r="F26" i="12" s="1"/>
  <c r="F20" i="12"/>
  <c r="F21" i="12" s="1"/>
  <c r="H26" i="12" s="1"/>
  <c r="D14" i="11"/>
  <c r="D22" i="11" s="1"/>
  <c r="F27" i="11" s="1"/>
  <c r="F14" i="11"/>
  <c r="F22" i="11" s="1"/>
  <c r="H27" i="11" s="1"/>
  <c r="E14" i="11"/>
  <c r="E22" i="11" s="1"/>
  <c r="G27" i="11" s="1"/>
  <c r="G14" i="11"/>
  <c r="G22" i="11" s="1"/>
  <c r="I27" i="11" s="1"/>
  <c r="E14" i="8"/>
  <c r="E22" i="8" s="1"/>
  <c r="G27" i="8" s="1"/>
  <c r="G14" i="8"/>
  <c r="G22" i="8" s="1"/>
  <c r="I27" i="8" s="1"/>
  <c r="D14" i="8"/>
  <c r="D22" i="8" s="1"/>
  <c r="F27" i="8" s="1"/>
  <c r="F14" i="8"/>
  <c r="F22" i="8" s="1"/>
  <c r="H27" i="8" s="1"/>
  <c r="H26" i="7"/>
  <c r="D20" i="6"/>
  <c r="D21" i="6" s="1"/>
  <c r="F26" i="6" s="1"/>
  <c r="F20" i="6"/>
  <c r="F21" i="6" s="1"/>
  <c r="H26" i="6" s="1"/>
  <c r="E20" i="6"/>
  <c r="E21" i="6" s="1"/>
  <c r="G26" i="6" s="1"/>
  <c r="G20" i="6"/>
  <c r="G21" i="6" s="1"/>
  <c r="I26" i="6" s="1"/>
  <c r="E14" i="5"/>
  <c r="E22" i="5" s="1"/>
  <c r="G27" i="5" s="1"/>
  <c r="G14" i="5"/>
  <c r="G22" i="5" s="1"/>
  <c r="I27" i="5" s="1"/>
  <c r="D14" i="5"/>
  <c r="D22" i="5" s="1"/>
  <c r="F27" i="5" s="1"/>
  <c r="F14" i="5"/>
  <c r="F22" i="5" s="1"/>
  <c r="H27" i="5" s="1"/>
  <c r="I26" i="10"/>
  <c r="F26" i="14"/>
  <c r="F26" i="7"/>
  <c r="I26" i="12"/>
  <c r="G26" i="7"/>
  <c r="I26" i="7"/>
  <c r="G26" i="14"/>
  <c r="H26" i="14"/>
  <c r="I26" i="14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<sst xmlns="http://schemas.openxmlformats.org/spreadsheetml/2006/main" count="522" uniqueCount="102">
  <si>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</si>
  <si>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</si>
  <si>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</si>
  <si>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</si>
  <si>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</si>
  <si>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</si>
  <si>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</si>
  <si>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</si>
  <si>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</si>
  <si>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</si>
  <si>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</si>
  <si>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</si>
  <si>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</si>
  <si>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</si>
  <si>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</si>
  <si>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</si>
  <si>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</si>
  <si>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</si>
  <si>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</si>
  <si>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</si>
  <si>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Обед</t>
  </si>
  <si>
    <t>Масса порции</t>
  </si>
  <si>
    <t xml:space="preserve">МЕНЮ </t>
  </si>
  <si>
    <t>В соответствии нормативов Учреждения Российской Академии Медицинских Наук Научно-исследовательский</t>
  </si>
  <si>
    <t>Сборник технических нормативов-Сборник рецептур но продукцию для обучающихся во всех образовательных</t>
  </si>
  <si>
    <t>№ рец.</t>
  </si>
  <si>
    <t>Минеральные вещества (мг.)</t>
  </si>
  <si>
    <t>Витамины (мг.)</t>
  </si>
  <si>
    <t>Пищевые вещества (г.)</t>
  </si>
  <si>
    <t>учреждениях/Под ред, М.П.Могильного и В.А.Тутельяна,-М,:Де/1и плюс, 2015,-544с</t>
  </si>
  <si>
    <t>Завтрак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</si>
  <si>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</si>
  <si>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</si>
  <si>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</si>
  <si>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</si>
  <si>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</si>
  <si>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>вторник</t>
  </si>
  <si>
    <t>среда</t>
  </si>
  <si>
    <t>четверг</t>
  </si>
  <si>
    <t>пятница</t>
  </si>
  <si>
    <t>В1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</si>
  <si>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</si>
  <si>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</si>
  <si>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</si>
  <si>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</si>
  <si>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</si>
  <si>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</si>
  <si>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</si>
  <si>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</si>
  <si>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</si>
  <si>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Рыба тушеная в томате с овощами (минтай)</t>
  </si>
  <si>
    <t>вторая</t>
  </si>
  <si>
    <t>Бутерброд с сыром российским (1 шт.)</t>
  </si>
  <si>
    <t>Хлеб пшеничный</t>
  </si>
  <si>
    <t>Масло сливочное</t>
  </si>
  <si>
    <t>Суп с макаронными изделиями и картофелем на курином бульоне</t>
  </si>
  <si>
    <t>Рыба припущенная (минтай) с маслом</t>
  </si>
  <si>
    <t>200/10</t>
  </si>
  <si>
    <t>Сыр российский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</si>
  <si>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</si>
  <si>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</si>
  <si>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</si>
  <si>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</si>
  <si>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</si>
  <si>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</si>
  <si>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</si>
  <si>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Компот из свежих яблок</t>
  </si>
  <si>
    <t>Котлета куриная</t>
  </si>
  <si>
    <t>Гречка отварная рассыпчатая</t>
  </si>
  <si>
    <t>Гуляш из отварного мяса в томатно-сметанном соусе</t>
  </si>
  <si>
    <t>Макароны отварные</t>
  </si>
  <si>
    <t>Чай с лимоном</t>
  </si>
  <si>
    <t>200/15/7</t>
  </si>
  <si>
    <t>Чай с сахаром</t>
  </si>
  <si>
    <t>200/15</t>
  </si>
  <si>
    <t>Суп картофельный с горохом</t>
  </si>
  <si>
    <t>Макароны отварные с сыром</t>
  </si>
  <si>
    <t>Гуляш из отварного мяса</t>
  </si>
  <si>
    <t>Каша манная молочная жидкая со сливочным маслом</t>
  </si>
  <si>
    <t>200/5</t>
  </si>
  <si>
    <t>Утверждаю</t>
  </si>
  <si>
    <t>Директор школы:                        /Тулин Э.В./</t>
  </si>
  <si>
    <t>МБОУ Высоковская средняя общеобразовательная школа Торжокского района Тверской области</t>
  </si>
  <si>
    <t xml:space="preserve">Рассольник ленинградский </t>
  </si>
  <si>
    <t>Компот из смеси сухофруктов</t>
  </si>
  <si>
    <t>Сосиска отварная</t>
  </si>
  <si>
    <t>Суп с макаронными изделиями, картофелем на курином бульоне</t>
  </si>
  <si>
    <t>Компот из сухофруктов</t>
  </si>
  <si>
    <t>Суп с рыбными консервами</t>
  </si>
  <si>
    <t>Картофель и овощи, тушёные в соусе</t>
  </si>
  <si>
    <t>Сосиски отварные</t>
  </si>
  <si>
    <t>Щи из свежей капусты с картофелем на курином бульоне</t>
  </si>
  <si>
    <t>Борщ с капустой и картофелем на курином бульоне</t>
  </si>
  <si>
    <t>Чай  с сахаром</t>
  </si>
  <si>
    <t>Высокое 2023</t>
  </si>
  <si>
    <t>( питания на 10 дней)</t>
  </si>
  <si>
    <t>Каша пшённая жидкая молочная с маслом</t>
  </si>
  <si>
    <t>230/10</t>
  </si>
  <si>
    <t>Каша жидкая молочная из гречки с маслом сливочным</t>
  </si>
  <si>
    <t>220/20</t>
  </si>
  <si>
    <t>институт питания РАМН, 2015</t>
  </si>
  <si>
    <r>
      <t xml:space="preserve">                                                          </t>
    </r>
    <r>
      <rPr>
        <sz val="12"/>
        <color theme="1"/>
        <rFont val="Times New Roman"/>
        <family val="1"/>
        <charset val="204"/>
      </rPr>
      <t>Для учащихся 1-4 класса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</si>
</sst>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43" fontId="7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7" fillId="0" borderId="1" xfId="1" applyFont="1" applyFill="1" applyBorder="1" applyAlignment="1" applyProtection="1">
      <alignment vertical="center" wrapText="1"/>
      <protection hidden="1"/>
    </xf>
    <xf numFmtId="43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43" fontId="7" fillId="0" borderId="0" xfId="1" applyFont="1" applyBorder="1" applyAlignment="1" applyProtection="1">
      <alignment wrapText="1"/>
      <protection hidden="1"/>
    </xf>
    <xf numFmtId="43" fontId="5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43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7" fillId="0" borderId="0" xfId="1" applyFont="1" applyFill="1" applyBorder="1" applyAlignment="1" applyProtection="1">
      <alignment horizontal="center" vertical="top" wrapText="1"/>
      <protection hidden="1"/>
    </xf>
    <xf numFmtId="43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43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43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43" fontId="7" fillId="0" borderId="0" xfId="1" applyFont="1" applyFill="1" applyBorder="1" applyAlignment="1" applyProtection="1">
      <alignment vertical="center" wrapText="1"/>
      <protection hidden="1"/>
    </xf>
    <xf numFmtId="0" fontId="7" fillId="5" borderId="1" xfId="0" applyFont="1" applyFill="1" applyBorder="1" applyAlignment="1" applyProtection="1">
      <alignment vertical="top" wrapText="1"/>
      <protection hidden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" fillId="0" borderId="1" xfId="0" applyFont="1" applyBorder="1"/>
    <xf numFmtId="0" fontId="23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vertical="top" wrapText="1"/>
      <protection hidden="1"/>
    </xf>
    <xf numFmtId="43" fontId="0" fillId="0" borderId="0" xfId="0" applyNumberFormat="1"/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43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wrapText="1"/>
    </xf>
    <xf numFmtId="0" fontId="26" fillId="0" borderId="0" xfId="0" applyFont="1"/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 applyProtection="1">
      <alignment vertical="top" wrapText="1"/>
      <protection hidden="1"/>
    </xf>
    <xf numFmtId="43" fontId="32" fillId="0" borderId="1" xfId="1" applyFont="1" applyFill="1" applyBorder="1" applyAlignment="1" applyProtection="1">
      <alignment vertical="center" wrapText="1"/>
      <protection hidden="1"/>
    </xf>
    <xf numFmtId="0" fontId="33" fillId="0" borderId="0" xfId="0" applyFont="1" applyFill="1" applyProtection="1">
      <protection hidden="1"/>
    </xf>
    <xf numFmtId="43" fontId="32" fillId="0" borderId="1" xfId="1" applyFont="1" applyBorder="1" applyAlignment="1" applyProtection="1">
      <alignment vertical="center" wrapText="1"/>
      <protection hidden="1"/>
    </xf>
    <xf numFmtId="0" fontId="33" fillId="0" borderId="0" xfId="0" applyFont="1"/>
    <xf numFmtId="0" fontId="26" fillId="0" borderId="0" xfId="0" applyFont="1" applyFill="1"/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4" fillId="3" borderId="1" xfId="0" applyFont="1" applyFill="1" applyBorder="1" applyAlignment="1" applyProtection="1">
      <alignment vertical="top" wrapText="1"/>
      <protection hidden="1"/>
    </xf>
    <xf numFmtId="43" fontId="34" fillId="3" borderId="3" xfId="0" applyNumberFormat="1" applyFont="1" applyFill="1" applyBorder="1" applyAlignment="1" applyProtection="1">
      <alignment vertical="top" wrapText="1"/>
      <protection hidden="1"/>
    </xf>
    <xf numFmtId="43" fontId="34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" fillId="0" borderId="0" xfId="0" applyFont="1" applyBorder="1" applyAlignment="1">
      <alignment horizontal="center"/>
    </xf>
    <xf numFmtId="0" fontId="26" fillId="0" borderId="0" xfId="0" applyNumberFormat="1" applyFont="1"/>
    <xf numFmtId="0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33" fillId="0" borderId="1" xfId="0" applyNumberFormat="1" applyFont="1" applyBorder="1" applyAlignment="1" applyProtection="1">
      <alignment vertical="top" wrapText="1"/>
      <protection hidden="1"/>
    </xf>
    <xf numFmtId="0" fontId="26" fillId="0" borderId="0" xfId="0" applyNumberFormat="1" applyFont="1" applyBorder="1"/>
    <xf numFmtId="0" fontId="39" fillId="0" borderId="1" xfId="0" applyFont="1" applyBorder="1" applyAlignment="1">
      <alignment horizontal="center" vertical="center" wrapText="1"/>
    </xf>
    <xf numFmtId="0" fontId="26" fillId="0" borderId="0" xfId="0" applyFont="1" applyFill="1" applyBorder="1"/>
    <xf numFmtId="0" fontId="33" fillId="0" borderId="0" xfId="0" applyFont="1" applyFill="1" applyBorder="1" applyProtection="1">
      <protection hidden="1"/>
    </xf>
    <xf numFmtId="0" fontId="33" fillId="0" borderId="0" xfId="0" applyFont="1" applyBorder="1"/>
    <xf numFmtId="0" fontId="40" fillId="0" borderId="1" xfId="0" applyNumberFormat="1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 wrapText="1"/>
    </xf>
    <xf numFmtId="0" fontId="0" fillId="0" borderId="24" xfId="0" applyFill="1" applyBorder="1"/>
    <xf numFmtId="0" fontId="41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hidden="1"/>
    </xf>
    <xf numFmtId="0" fontId="0" fillId="0" borderId="0" xfId="0" applyBorder="1" applyAlignment="1">
      <alignment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8" borderId="1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top" wrapText="1"/>
      <protection hidden="1"/>
    </xf>
    <xf numFmtId="43" fontId="2" fillId="8" borderId="1" xfId="0" applyNumberFormat="1" applyFont="1" applyFill="1" applyBorder="1" applyAlignment="1" applyProtection="1">
      <alignment vertical="top" wrapText="1"/>
      <protection hidden="1"/>
    </xf>
    <xf numFmtId="43" fontId="5" fillId="8" borderId="1" xfId="0" applyNumberFormat="1" applyFont="1" applyFill="1" applyBorder="1" applyAlignment="1" applyProtection="1">
      <alignment vertical="center" wrapText="1"/>
      <protection hidden="1"/>
    </xf>
    <xf numFmtId="43" fontId="5" fillId="8" borderId="1" xfId="0" applyNumberFormat="1" applyFont="1" applyFill="1" applyBorder="1" applyAlignment="1" applyProtection="1">
      <alignment vertical="top" wrapText="1"/>
      <protection hidden="1"/>
    </xf>
    <xf numFmtId="0" fontId="34" fillId="8" borderId="2" xfId="0" applyFont="1" applyFill="1" applyBorder="1" applyAlignment="1" applyProtection="1">
      <alignment vertical="top"/>
      <protection hidden="1"/>
    </xf>
    <xf numFmtId="0" fontId="26" fillId="8" borderId="1" xfId="0" applyFont="1" applyFill="1" applyBorder="1" applyAlignment="1" applyProtection="1">
      <alignment vertical="top"/>
      <protection hidden="1"/>
    </xf>
    <xf numFmtId="0" fontId="26" fillId="8" borderId="1" xfId="0" applyNumberFormat="1" applyFont="1" applyFill="1" applyBorder="1" applyAlignment="1" applyProtection="1">
      <alignment vertical="top"/>
      <protection hidden="1"/>
    </xf>
    <xf numFmtId="43" fontId="26" fillId="8" borderId="1" xfId="0" applyNumberFormat="1" applyFont="1" applyFill="1" applyBorder="1" applyAlignment="1" applyProtection="1">
      <alignment vertical="top"/>
      <protection hidden="1"/>
    </xf>
    <xf numFmtId="0" fontId="34" fillId="8" borderId="2" xfId="0" applyFont="1" applyFill="1" applyBorder="1" applyAlignment="1" applyProtection="1">
      <alignment vertical="top" wrapText="1"/>
      <protection hidden="1"/>
    </xf>
    <xf numFmtId="0" fontId="26" fillId="8" borderId="3" xfId="0" applyFont="1" applyFill="1" applyBorder="1" applyAlignment="1" applyProtection="1">
      <protection hidden="1"/>
    </xf>
    <xf numFmtId="0" fontId="26" fillId="8" borderId="3" xfId="0" applyNumberFormat="1" applyFont="1" applyFill="1" applyBorder="1" applyAlignment="1" applyProtection="1">
      <protection hidden="1"/>
    </xf>
    <xf numFmtId="43" fontId="32" fillId="8" borderId="3" xfId="0" applyNumberFormat="1" applyFont="1" applyFill="1" applyBorder="1" applyAlignment="1" applyProtection="1">
      <protection hidden="1"/>
    </xf>
    <xf numFmtId="43" fontId="26" fillId="8" borderId="3" xfId="0" applyNumberFormat="1" applyFont="1" applyFill="1" applyBorder="1" applyAlignment="1" applyProtection="1">
      <protection hidden="1"/>
    </xf>
    <xf numFmtId="43" fontId="5" fillId="8" borderId="1" xfId="0" applyNumberFormat="1" applyFont="1" applyFill="1" applyBorder="1" applyAlignment="1" applyProtection="1">
      <alignment horizontal="justify" vertical="center" wrapText="1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justify" vertical="center" wrapText="1"/>
      <protection hidden="1"/>
    </xf>
    <xf numFmtId="0" fontId="5" fillId="8" borderId="1" xfId="0" applyFont="1" applyFill="1" applyBorder="1" applyAlignment="1" applyProtection="1">
      <alignment horizontal="justify" vertical="center" wrapText="1"/>
      <protection hidden="1"/>
    </xf>
    <xf numFmtId="43" fontId="5" fillId="8" borderId="3" xfId="0" applyNumberFormat="1" applyFont="1" applyFill="1" applyBorder="1" applyAlignment="1" applyProtection="1">
      <alignment vertical="top" wrapText="1"/>
      <protection hidden="1"/>
    </xf>
    <xf numFmtId="0" fontId="5" fillId="8" borderId="1" xfId="0" applyFont="1" applyFill="1" applyBorder="1" applyAlignment="1" applyProtection="1">
      <alignment vertical="top"/>
      <protection hidden="1"/>
    </xf>
    <xf numFmtId="0" fontId="0" fillId="8" borderId="1" xfId="0" applyFill="1" applyBorder="1" applyAlignment="1" applyProtection="1">
      <alignment vertical="top"/>
      <protection hidden="1"/>
    </xf>
    <xf numFmtId="0" fontId="5" fillId="8" borderId="2" xfId="0" applyFont="1" applyFill="1" applyBorder="1" applyAlignment="1" applyProtection="1">
      <alignment vertical="top" wrapText="1"/>
      <protection hidden="1"/>
    </xf>
    <xf numFmtId="0" fontId="5" fillId="8" borderId="3" xfId="0" applyFont="1" applyFill="1" applyBorder="1" applyAlignment="1" applyProtection="1">
      <alignment vertical="top" wrapText="1"/>
      <protection hidden="1"/>
    </xf>
    <xf numFmtId="0" fontId="5" fillId="8" borderId="4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41" fillId="0" borderId="1" xfId="1" applyFont="1" applyBorder="1" applyAlignment="1" applyProtection="1">
      <alignment vertical="center" wrapText="1"/>
      <protection hidden="1"/>
    </xf>
    <xf numFmtId="43" fontId="41" fillId="0" borderId="1" xfId="1" applyFont="1" applyBorder="1" applyAlignment="1" applyProtection="1">
      <alignment horizontal="right" vertical="top" wrapText="1"/>
      <protection hidden="1"/>
    </xf>
    <xf numFmtId="0" fontId="41" fillId="0" borderId="1" xfId="0" applyFont="1" applyBorder="1" applyAlignment="1">
      <alignment horizontal="right" vertical="top" wrapText="1"/>
    </xf>
    <xf numFmtId="0" fontId="31" fillId="0" borderId="23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39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/>
    <xf numFmtId="0" fontId="33" fillId="0" borderId="0" xfId="0" applyFont="1" applyFill="1"/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0" fillId="8" borderId="0" xfId="0" applyFill="1"/>
    <xf numFmtId="0" fontId="2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38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/>
    <xf numFmtId="0" fontId="44" fillId="0" borderId="0" xfId="0" applyFont="1"/>
    <xf numFmtId="0" fontId="45" fillId="0" borderId="0" xfId="0" applyFont="1"/>
    <xf numFmtId="0" fontId="0" fillId="0" borderId="0" xfId="0" applyFont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6" fillId="5" borderId="1" xfId="0" applyFont="1" applyFill="1" applyBorder="1" applyAlignment="1" applyProtection="1">
      <alignment vertical="top" wrapText="1"/>
      <protection hidden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49" fontId="18" fillId="7" borderId="27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8" fillId="7" borderId="28" xfId="0" applyNumberFormat="1" applyFont="1" applyFill="1" applyBorder="1" applyAlignment="1">
      <alignment horizontal="center" vertical="center" wrapText="1"/>
    </xf>
    <xf numFmtId="2" fontId="19" fillId="0" borderId="16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2" fontId="19" fillId="0" borderId="29" xfId="0" applyNumberFormat="1" applyFont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 wrapText="1"/>
    </xf>
    <xf numFmtId="49" fontId="18" fillId="7" borderId="17" xfId="0" applyNumberFormat="1" applyFont="1" applyFill="1" applyBorder="1" applyAlignment="1">
      <alignment horizontal="center" vertical="center" wrapText="1"/>
    </xf>
    <xf numFmtId="49" fontId="18" fillId="7" borderId="2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Fill="1" applyBorder="1" applyAlignment="1" applyProtection="1">
      <alignment horizontal="center" vertical="top" wrapText="1"/>
      <protection hidden="1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43" fontId="7" fillId="0" borderId="23" xfId="1" applyFont="1" applyFill="1" applyBorder="1" applyAlignment="1" applyProtection="1">
      <alignment horizontal="center" vertical="center" wrapText="1"/>
      <protection hidden="1"/>
    </xf>
    <xf numFmtId="43" fontId="7" fillId="0" borderId="20" xfId="1" applyFont="1" applyFill="1" applyBorder="1" applyAlignment="1" applyProtection="1">
      <alignment horizontal="center" vertical="center" wrapText="1"/>
      <protection hidden="1"/>
    </xf>
    <xf numFmtId="43" fontId="7" fillId="0" borderId="21" xfId="1" applyFont="1" applyFill="1" applyBorder="1" applyAlignment="1" applyProtection="1">
      <alignment horizontal="center" vertical="center" wrapText="1"/>
      <protection hidden="1"/>
    </xf>
    <xf numFmtId="43" fontId="7" fillId="0" borderId="24" xfId="1" applyFont="1" applyFill="1" applyBorder="1" applyAlignment="1" applyProtection="1">
      <alignment horizontal="center" vertical="center" wrapText="1"/>
      <protection hidden="1"/>
    </xf>
    <xf numFmtId="43" fontId="7" fillId="0" borderId="0" xfId="1" applyFont="1" applyFill="1" applyBorder="1" applyAlignment="1" applyProtection="1">
      <alignment horizontal="center" vertical="center" wrapText="1"/>
      <protection hidden="1"/>
    </xf>
    <xf numFmtId="43" fontId="7" fillId="0" borderId="22" xfId="1" applyFont="1" applyFill="1" applyBorder="1" applyAlignment="1" applyProtection="1">
      <alignment horizontal="center" vertical="center" wrapText="1"/>
      <protection hidden="1"/>
    </xf>
    <xf numFmtId="43" fontId="7" fillId="0" borderId="25" xfId="1" applyFont="1" applyFill="1" applyBorder="1" applyAlignment="1" applyProtection="1">
      <alignment horizontal="center" vertical="center" wrapText="1"/>
      <protection hidden="1"/>
    </xf>
    <xf numFmtId="43" fontId="7" fillId="0" borderId="18" xfId="1" applyFont="1" applyFill="1" applyBorder="1" applyAlignment="1" applyProtection="1">
      <alignment horizontal="center" vertical="center" wrapText="1"/>
      <protection hidden="1"/>
    </xf>
    <xf numFmtId="43" fontId="7" fillId="0" borderId="26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39" fillId="0" borderId="23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vertical="center" wrapText="1"/>
      <protection hidden="1"/>
    </xf>
    <xf numFmtId="0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NumberFormat="1" applyFont="1" applyBorder="1" applyAlignment="1" applyProtection="1">
      <alignment horizontal="center" vertical="center" wrapText="1"/>
      <protection hidden="1"/>
    </xf>
    <xf numFmtId="49" fontId="35" fillId="7" borderId="7" xfId="0" applyNumberFormat="1" applyFont="1" applyFill="1" applyBorder="1" applyAlignment="1">
      <alignment horizontal="center" vertical="center" wrapText="1"/>
    </xf>
    <xf numFmtId="49" fontId="35" fillId="7" borderId="8" xfId="0" applyNumberFormat="1" applyFont="1" applyFill="1" applyBorder="1" applyAlignment="1">
      <alignment horizontal="center" vertical="center" wrapText="1"/>
    </xf>
    <xf numFmtId="49" fontId="35" fillId="7" borderId="13" xfId="0" applyNumberFormat="1" applyFont="1" applyFill="1" applyBorder="1" applyAlignment="1">
      <alignment horizontal="center" vertical="center" wrapText="1"/>
    </xf>
    <xf numFmtId="49" fontId="35" fillId="7" borderId="14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49" fontId="35" fillId="7" borderId="16" xfId="0" applyNumberFormat="1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29" fillId="0" borderId="3" xfId="0" applyFont="1" applyBorder="1" applyAlignment="1" applyProtection="1">
      <alignment horizontal="center" vertical="top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O25"/>
  <sheetViews>
    <sheetView tabSelected="1" view="pageBreakPreview" zoomScale="70" zoomScaleNormal="70" zoomScaleSheetLayoutView="70" workbookViewId="0">
      <selection activeCell="S12" sqref="S12"/>
    </sheetView>
  </sheetViews>
  <sheetFormatPr defaultColWidth="8.85546875" defaultRowHeight="15" x14ac:dyDescent="0.25"/>
  <cols>
    <col min="1" max="1" width="8.85546875" style="1"/>
    <col min="2" max="2" width="39.5703125" style="1" customWidth="1"/>
    <col min="3" max="6" width="8.85546875" style="1"/>
    <col min="7" max="7" width="12.7109375" style="1" bestFit="1" customWidth="1"/>
    <col min="8" max="16384" width="8.85546875" style="1"/>
  </cols>
  <sheetData>
    <row r="1" spans="1:15" ht="18.75" x14ac:dyDescent="0.3">
      <c r="B1" s="163"/>
      <c r="J1" s="163" t="s">
        <v>80</v>
      </c>
    </row>
    <row r="2" spans="1:15" ht="18.75" x14ac:dyDescent="0.3">
      <c r="A2" s="163"/>
      <c r="B2" s="163"/>
      <c r="J2" s="163"/>
      <c r="K2" s="163"/>
    </row>
    <row r="3" spans="1:15" ht="18.75" x14ac:dyDescent="0.3">
      <c r="A3" s="163"/>
      <c r="B3" s="163"/>
      <c r="C3" s="163"/>
      <c r="D3" s="163"/>
      <c r="E3" s="163"/>
      <c r="F3" s="163"/>
      <c r="J3" s="163" t="s">
        <v>81</v>
      </c>
      <c r="K3" s="163"/>
      <c r="L3" s="163"/>
      <c r="M3" s="163"/>
      <c r="N3" s="163"/>
    </row>
    <row r="4" spans="1:15" ht="18.75" x14ac:dyDescent="0.3">
      <c r="A4" s="163"/>
      <c r="B4" s="163"/>
    </row>
    <row r="5" spans="1:15" ht="26.25" x14ac:dyDescent="0.4">
      <c r="B5" s="164" t="s">
        <v>82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10" spans="1:15" ht="32.25" x14ac:dyDescent="0.5">
      <c r="A10" s="174" t="s">
        <v>22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</row>
    <row r="11" spans="1:15" ht="32.25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32.25" x14ac:dyDescent="0.5">
      <c r="A12" s="174" t="s">
        <v>95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</row>
    <row r="13" spans="1:15" ht="21" x14ac:dyDescent="0.35">
      <c r="E13" s="5"/>
      <c r="F13" s="5"/>
    </row>
    <row r="14" spans="1:15" ht="15.75" x14ac:dyDescent="0.25">
      <c r="C14" s="1" t="s">
        <v>101</v>
      </c>
    </row>
    <row r="15" spans="1:15" ht="21" x14ac:dyDescent="0.35">
      <c r="A15" s="176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5" ht="21" x14ac:dyDescent="0.3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1" x14ac:dyDescent="0.3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1" x14ac:dyDescent="0.35">
      <c r="A18" s="178" t="s">
        <v>24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</row>
    <row r="19" spans="1:15" ht="21" x14ac:dyDescent="0.35">
      <c r="A19" s="178" t="s">
        <v>29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</row>
    <row r="20" spans="1:15" ht="21" x14ac:dyDescent="0.35">
      <c r="A20" s="178" t="s">
        <v>23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</row>
    <row r="21" spans="1:15" ht="21" x14ac:dyDescent="0.35">
      <c r="A21" s="178" t="s">
        <v>100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</row>
    <row r="22" spans="1:15" ht="21" x14ac:dyDescent="0.3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21" x14ac:dyDescent="0.35">
      <c r="A23" s="178" t="s">
        <v>94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spans="1:15" ht="21" x14ac:dyDescent="0.35">
      <c r="A24" s="178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</row>
    <row r="25" spans="1:15" ht="18.75" x14ac:dyDescent="0.3">
      <c r="A25" s="2"/>
    </row>
  </sheetData>
  <sheetProtection selectLockedCells="1" selectUnlockedCells="1"/>
  <mergeCells count="9">
    <mergeCell ref="A10:O10"/>
    <mergeCell ref="A12:O12"/>
    <mergeCell ref="A15:O15"/>
    <mergeCell ref="A23:O23"/>
    <mergeCell ref="A24:O24"/>
    <mergeCell ref="A18:O18"/>
    <mergeCell ref="A19:O19"/>
    <mergeCell ref="A20:O20"/>
    <mergeCell ref="A21:O21"/>
  </mergeCells>
  <printOptions horizontalCentered="1" verticalCentered="1"/>
  <pageMargins left="0.70866141732283472" right="0.70866141732283472" top="0.43307086614173229" bottom="0.62992125984251968" header="0.31496062992125984" footer="0.31496062992125984"/>
  <pageSetup paperSize="9" scale="78" fitToHeight="6" orientation="landscape" horizontalDpi="4294967293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A34"/>
  <sheetViews>
    <sheetView view="pageBreakPreview" topLeftCell="A7" zoomScale="80" zoomScaleNormal="100" zoomScaleSheetLayoutView="80" workbookViewId="0">
      <selection activeCell="J17" sqref="J17"/>
    </sheetView>
  </sheetViews>
  <sheetFormatPr defaultRowHeight="15" x14ac:dyDescent="0.25"/>
  <cols>
    <col min="2" max="2" width="37.140625" bestFit="1" customWidth="1"/>
    <col min="6" max="6" width="10.28515625" customWidth="1"/>
    <col min="7" max="7" width="20.42578125" customWidth="1"/>
    <col min="8" max="8" width="11.42578125" customWidth="1"/>
    <col min="9" max="9" width="12.140625" customWidth="1"/>
    <col min="10" max="10" width="14.28515625" customWidth="1"/>
    <col min="12" max="13" width="10" bestFit="1" customWidth="1"/>
  </cols>
  <sheetData>
    <row r="1" spans="1:27" ht="15.75" x14ac:dyDescent="0.25">
      <c r="A1" s="14" t="s">
        <v>32</v>
      </c>
      <c r="B1" s="13" t="s">
        <v>38</v>
      </c>
    </row>
    <row r="2" spans="1:27" ht="22.15" customHeight="1" x14ac:dyDescent="0.25">
      <c r="A2" s="14" t="s">
        <v>34</v>
      </c>
      <c r="B2" s="13" t="s">
        <v>51</v>
      </c>
    </row>
    <row r="3" spans="1:27" ht="15.75" x14ac:dyDescent="0.25">
      <c r="A3" s="14"/>
      <c r="B3" s="13"/>
    </row>
    <row r="4" spans="1:27" ht="19.149999999999999" customHeight="1" x14ac:dyDescent="0.25">
      <c r="A4" s="14"/>
      <c r="B4" s="13"/>
    </row>
    <row r="5" spans="1:27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</row>
    <row r="6" spans="1:27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27" s="12" customFormat="1" ht="16.149999999999999" customHeight="1" x14ac:dyDescent="0.2">
      <c r="A7" s="102"/>
      <c r="B7" s="57"/>
      <c r="C7" s="57"/>
      <c r="D7" s="57"/>
      <c r="E7" s="57"/>
      <c r="F7" s="57"/>
      <c r="G7" s="57" t="s">
        <v>30</v>
      </c>
      <c r="H7" s="57"/>
      <c r="I7" s="57"/>
      <c r="J7" s="57"/>
      <c r="K7" s="57"/>
      <c r="L7" s="57"/>
      <c r="M7" s="57"/>
      <c r="N7" s="57"/>
      <c r="O7" s="57"/>
    </row>
    <row r="8" spans="1:27" s="12" customFormat="1" ht="25.5" x14ac:dyDescent="0.2">
      <c r="A8" s="162">
        <v>173</v>
      </c>
      <c r="B8" s="10" t="s">
        <v>64</v>
      </c>
      <c r="C8" s="162" t="s">
        <v>57</v>
      </c>
      <c r="D8" s="17">
        <v>9.0399999999999991</v>
      </c>
      <c r="E8" s="17">
        <v>13.44</v>
      </c>
      <c r="F8" s="17">
        <v>40.159999999999997</v>
      </c>
      <c r="G8" s="17">
        <v>318</v>
      </c>
      <c r="H8" s="17">
        <v>0.21</v>
      </c>
      <c r="I8" s="17">
        <v>0.96</v>
      </c>
      <c r="J8" s="17">
        <v>54.8</v>
      </c>
      <c r="K8" s="17">
        <v>0.73</v>
      </c>
      <c r="L8" s="17">
        <v>158.65</v>
      </c>
      <c r="M8" s="17">
        <v>264.86</v>
      </c>
      <c r="N8" s="17">
        <v>72.05</v>
      </c>
      <c r="O8" s="17">
        <v>2.09</v>
      </c>
    </row>
    <row r="9" spans="1:27" s="76" customFormat="1" x14ac:dyDescent="0.25">
      <c r="A9" s="201">
        <v>2</v>
      </c>
      <c r="B9" s="10" t="s">
        <v>62</v>
      </c>
      <c r="C9" s="98">
        <v>60</v>
      </c>
      <c r="D9" s="101">
        <v>3.7</v>
      </c>
      <c r="E9" s="101">
        <v>8.5</v>
      </c>
      <c r="F9" s="101">
        <v>26.25</v>
      </c>
      <c r="G9" s="140">
        <v>155</v>
      </c>
      <c r="H9" s="101">
        <v>3.4000000000000002E-2</v>
      </c>
      <c r="I9" s="101"/>
      <c r="J9" s="101">
        <v>0.13</v>
      </c>
      <c r="K9" s="101">
        <v>0.44</v>
      </c>
      <c r="L9" s="101">
        <v>8.4</v>
      </c>
      <c r="M9" s="101">
        <v>22.5</v>
      </c>
      <c r="N9" s="101">
        <v>4.2</v>
      </c>
      <c r="O9" s="101">
        <v>0.35</v>
      </c>
      <c r="P9" s="95"/>
      <c r="Q9" s="95"/>
      <c r="R9" s="95"/>
      <c r="S9" s="95"/>
    </row>
    <row r="10" spans="1:27" s="73" customFormat="1" x14ac:dyDescent="0.2">
      <c r="A10" s="202"/>
      <c r="B10" s="52"/>
      <c r="C10" s="99"/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86"/>
      <c r="Q10" s="86"/>
      <c r="R10" s="96"/>
      <c r="S10" s="96"/>
    </row>
    <row r="11" spans="1:27" s="75" customFormat="1" x14ac:dyDescent="0.2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86"/>
      <c r="Q11" s="86"/>
      <c r="R11" s="97"/>
      <c r="S11" s="97"/>
    </row>
    <row r="12" spans="1:27" s="15" customFormat="1" x14ac:dyDescent="0.25">
      <c r="A12" s="104">
        <v>376</v>
      </c>
      <c r="B12" s="10" t="s">
        <v>73</v>
      </c>
      <c r="C12" s="104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/>
      <c r="I12" s="17">
        <v>0.03</v>
      </c>
      <c r="J12" s="17"/>
      <c r="K12" s="17"/>
      <c r="L12" s="17">
        <v>11.1</v>
      </c>
      <c r="M12" s="17"/>
      <c r="N12" s="17">
        <v>1.4</v>
      </c>
      <c r="O12" s="17">
        <v>0.28000000000000003</v>
      </c>
    </row>
    <row r="13" spans="1:27" s="31" customFormat="1" ht="16.149999999999999" customHeight="1" x14ac:dyDescent="0.2">
      <c r="A13" s="111" t="s">
        <v>11</v>
      </c>
      <c r="B13" s="112"/>
      <c r="C13" s="112"/>
      <c r="D13" s="125">
        <f t="shared" ref="D13:F13" si="0">SUM(D8:D12)</f>
        <v>12.809999999999999</v>
      </c>
      <c r="E13" s="125">
        <f t="shared" si="0"/>
        <v>21.959999999999997</v>
      </c>
      <c r="F13" s="125">
        <f t="shared" si="0"/>
        <v>81.41</v>
      </c>
      <c r="G13" s="125">
        <f>SUM(G8:G12)</f>
        <v>533</v>
      </c>
      <c r="H13" s="125"/>
      <c r="I13" s="125"/>
      <c r="J13" s="125"/>
      <c r="K13" s="125"/>
      <c r="L13" s="125"/>
      <c r="M13" s="125"/>
      <c r="N13" s="125"/>
      <c r="O13" s="125"/>
    </row>
    <row r="14" spans="1:27" s="31" customFormat="1" ht="18.75" x14ac:dyDescent="0.2">
      <c r="A14" s="268" t="s">
        <v>20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63"/>
    </row>
    <row r="15" spans="1:27" s="31" customFormat="1" ht="25.5" customHeight="1" x14ac:dyDescent="0.2">
      <c r="A15" s="16">
        <v>112</v>
      </c>
      <c r="B15" s="10" t="s">
        <v>55</v>
      </c>
      <c r="C15" s="16">
        <v>250</v>
      </c>
      <c r="D15" s="17">
        <f>10.27/4+0.8</f>
        <v>3.3674999999999997</v>
      </c>
      <c r="E15" s="17">
        <f>11.12/4+0.2</f>
        <v>2.98</v>
      </c>
      <c r="F15" s="17">
        <f>62.75/4</f>
        <v>15.6875</v>
      </c>
      <c r="G15" s="17">
        <f>436/4+5+30</f>
        <v>144</v>
      </c>
      <c r="H15" s="17">
        <f>0.37/4</f>
        <v>9.2499999999999999E-2</v>
      </c>
      <c r="I15" s="17">
        <f>24.3/4</f>
        <v>6.0750000000000002</v>
      </c>
      <c r="J15" s="17"/>
      <c r="K15" s="17">
        <f>5.8/4</f>
        <v>1.45</v>
      </c>
      <c r="L15" s="17">
        <f>118/4+2</f>
        <v>31.5</v>
      </c>
      <c r="M15" s="17">
        <f>230.9/4</f>
        <v>57.725000000000001</v>
      </c>
      <c r="N15" s="17">
        <f>95.2/4</f>
        <v>23.8</v>
      </c>
      <c r="O15" s="17">
        <f>4/4</f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15" customFormat="1" x14ac:dyDescent="0.25">
      <c r="A16" s="16">
        <v>302</v>
      </c>
      <c r="B16" s="10" t="s">
        <v>17</v>
      </c>
      <c r="C16" s="16">
        <v>200</v>
      </c>
      <c r="D16" s="17">
        <f>57.32/100*20</f>
        <v>11.464</v>
      </c>
      <c r="E16" s="17">
        <f>40.62/100*20</f>
        <v>8.1239999999999988</v>
      </c>
      <c r="F16" s="17">
        <f>257.61/100*20</f>
        <v>51.522000000000006</v>
      </c>
      <c r="G16" s="17">
        <f>1625/100*20</f>
        <v>325</v>
      </c>
      <c r="H16" s="17">
        <f>1.39/100*20</f>
        <v>0.27799999999999997</v>
      </c>
      <c r="I16" s="17"/>
      <c r="J16" s="17"/>
      <c r="K16" s="17">
        <f>4.05/100*20</f>
        <v>0.81</v>
      </c>
      <c r="L16" s="17">
        <f>98.8/100*20</f>
        <v>19.759999999999998</v>
      </c>
      <c r="M16" s="17">
        <f>1359.5/100*20</f>
        <v>271.90000000000003</v>
      </c>
      <c r="N16" s="17">
        <f>905.5/100*20</f>
        <v>181.1</v>
      </c>
      <c r="O16" s="17">
        <f>30.4/100*20</f>
        <v>6.08</v>
      </c>
    </row>
    <row r="17" spans="1:15" s="15" customFormat="1" ht="25.5" x14ac:dyDescent="0.25">
      <c r="A17" s="16">
        <v>246</v>
      </c>
      <c r="B17" s="10" t="s">
        <v>69</v>
      </c>
      <c r="C17" s="16">
        <v>100</v>
      </c>
      <c r="D17" s="17">
        <v>13.36</v>
      </c>
      <c r="E17" s="17">
        <v>14.08</v>
      </c>
      <c r="F17" s="17">
        <v>0.85</v>
      </c>
      <c r="G17" s="17">
        <v>164</v>
      </c>
      <c r="H17" s="17">
        <v>0.01</v>
      </c>
      <c r="I17" s="17">
        <v>1.2</v>
      </c>
      <c r="J17" s="17"/>
      <c r="K17" s="17"/>
      <c r="L17" s="17">
        <v>23.6</v>
      </c>
      <c r="M17" s="17">
        <v>117.03</v>
      </c>
      <c r="N17" s="17">
        <v>20.27</v>
      </c>
      <c r="O17" s="17">
        <v>2</v>
      </c>
    </row>
    <row r="18" spans="1:15" s="15" customFormat="1" x14ac:dyDescent="0.25">
      <c r="A18" s="162">
        <v>377</v>
      </c>
      <c r="B18" s="10" t="s">
        <v>71</v>
      </c>
      <c r="C18" s="105" t="s">
        <v>72</v>
      </c>
      <c r="D18" s="106">
        <v>0.53</v>
      </c>
      <c r="E18" s="105">
        <v>0</v>
      </c>
      <c r="F18" s="106">
        <v>9.8699999999999992</v>
      </c>
      <c r="G18" s="105">
        <v>41.6</v>
      </c>
      <c r="H18" s="106"/>
      <c r="I18" s="105">
        <v>2.13</v>
      </c>
      <c r="J18" s="106"/>
      <c r="K18" s="105"/>
      <c r="L18" s="106">
        <v>15.33</v>
      </c>
      <c r="M18" s="105"/>
      <c r="N18" s="106">
        <v>12.27</v>
      </c>
      <c r="O18" s="107">
        <v>2.13</v>
      </c>
    </row>
    <row r="19" spans="1:15" s="31" customFormat="1" ht="16.149999999999999" customHeight="1" x14ac:dyDescent="0.2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x14ac:dyDescent="0.25">
      <c r="A20" s="111" t="s">
        <v>11</v>
      </c>
      <c r="B20" s="112"/>
      <c r="C20" s="112"/>
      <c r="D20" s="125">
        <f>SUM(D15:D19)</f>
        <v>30.961500000000001</v>
      </c>
      <c r="E20" s="125">
        <f>SUM(E15:E19)</f>
        <v>26.063999999999997</v>
      </c>
      <c r="F20" s="125">
        <f>SUM(F15:F19)</f>
        <v>97.68950000000001</v>
      </c>
      <c r="G20" s="125">
        <f>SUM(G15:G19)</f>
        <v>766.56000000000006</v>
      </c>
      <c r="H20" s="125"/>
      <c r="I20" s="125"/>
      <c r="J20" s="125"/>
      <c r="K20" s="125"/>
      <c r="L20" s="125"/>
      <c r="M20" s="125"/>
      <c r="N20" s="125"/>
      <c r="O20" s="125"/>
    </row>
    <row r="21" spans="1:15" ht="25.5" x14ac:dyDescent="0.25">
      <c r="A21" s="111" t="s">
        <v>15</v>
      </c>
      <c r="B21" s="112"/>
      <c r="C21" s="112"/>
      <c r="D21" s="115">
        <f>D13+D20</f>
        <v>43.771500000000003</v>
      </c>
      <c r="E21" s="115">
        <f>E13+E20</f>
        <v>48.023999999999994</v>
      </c>
      <c r="F21" s="115">
        <f>F13+F20</f>
        <v>179.09950000000001</v>
      </c>
      <c r="G21" s="115">
        <f>G13+G20</f>
        <v>1299.56</v>
      </c>
      <c r="H21" s="128"/>
      <c r="I21" s="128"/>
      <c r="J21" s="128"/>
      <c r="K21" s="128"/>
      <c r="L21" s="128"/>
      <c r="M21" s="135"/>
      <c r="N21" s="135"/>
      <c r="O21" s="127"/>
    </row>
    <row r="22" spans="1:15" ht="15.75" thickBot="1" x14ac:dyDescent="0.3">
      <c r="G22" s="53"/>
    </row>
    <row r="23" spans="1:15" ht="26.25" thickBot="1" x14ac:dyDescent="0.3">
      <c r="B23" s="180" t="s">
        <v>41</v>
      </c>
      <c r="C23" s="181"/>
      <c r="D23" s="181"/>
      <c r="E23" s="181"/>
      <c r="F23" s="222" t="s">
        <v>42</v>
      </c>
      <c r="G23" s="223"/>
      <c r="H23" s="224"/>
      <c r="I23" s="39" t="s">
        <v>43</v>
      </c>
    </row>
    <row r="24" spans="1:15" ht="15.75" thickBot="1" x14ac:dyDescent="0.3">
      <c r="B24" s="183"/>
      <c r="C24" s="184"/>
      <c r="D24" s="184"/>
      <c r="E24" s="184"/>
      <c r="F24" s="40" t="s">
        <v>1</v>
      </c>
      <c r="G24" s="40" t="s">
        <v>2</v>
      </c>
      <c r="H24" s="40" t="s">
        <v>3</v>
      </c>
      <c r="I24" s="41"/>
    </row>
    <row r="25" spans="1:15" ht="15.75" thickBot="1" x14ac:dyDescent="0.3">
      <c r="B25" s="189" t="s">
        <v>45</v>
      </c>
      <c r="C25" s="190"/>
      <c r="D25" s="190"/>
      <c r="E25" s="190"/>
      <c r="F25" s="40" t="s">
        <v>46</v>
      </c>
      <c r="G25" s="40" t="s">
        <v>47</v>
      </c>
      <c r="H25" s="40" t="s">
        <v>48</v>
      </c>
      <c r="I25" s="40" t="s">
        <v>49</v>
      </c>
    </row>
    <row r="26" spans="1:15" ht="15.75" thickBot="1" x14ac:dyDescent="0.3">
      <c r="B26" s="189" t="s">
        <v>44</v>
      </c>
      <c r="C26" s="190"/>
      <c r="D26" s="190"/>
      <c r="E26" s="190"/>
      <c r="F26" s="42">
        <f>D21</f>
        <v>43.771500000000003</v>
      </c>
      <c r="G26" s="42">
        <f>E21</f>
        <v>48.023999999999994</v>
      </c>
      <c r="H26" s="42">
        <f>F21</f>
        <v>179.09950000000001</v>
      </c>
      <c r="I26" s="42">
        <f>G21</f>
        <v>1299.56</v>
      </c>
    </row>
    <row r="28" spans="1:15" x14ac:dyDescent="0.25">
      <c r="B28" s="49"/>
      <c r="C28" s="280"/>
      <c r="D28" s="280"/>
      <c r="E28" s="280"/>
      <c r="F28" s="280"/>
      <c r="G28" s="88"/>
      <c r="H28" s="88"/>
    </row>
    <row r="29" spans="1:15" x14ac:dyDescent="0.25">
      <c r="B29" s="49"/>
      <c r="C29" s="280"/>
      <c r="D29" s="280"/>
      <c r="E29" s="280"/>
      <c r="F29" s="280"/>
      <c r="G29" s="88"/>
      <c r="H29" s="88"/>
    </row>
    <row r="30" spans="1:15" x14ac:dyDescent="0.25">
      <c r="B30" s="49"/>
      <c r="C30" s="280"/>
      <c r="D30" s="280"/>
      <c r="E30" s="280"/>
      <c r="F30" s="280"/>
      <c r="G30" s="88"/>
      <c r="H30" s="88"/>
    </row>
    <row r="31" spans="1:15" x14ac:dyDescent="0.25">
      <c r="B31" s="49"/>
      <c r="C31" s="280"/>
      <c r="D31" s="280"/>
      <c r="E31" s="280"/>
      <c r="F31" s="280"/>
      <c r="G31" s="88"/>
      <c r="H31" s="88"/>
    </row>
    <row r="32" spans="1:15" x14ac:dyDescent="0.25">
      <c r="B32" s="49"/>
      <c r="C32" s="280"/>
      <c r="D32" s="280"/>
      <c r="E32" s="280"/>
      <c r="F32" s="280"/>
      <c r="G32" s="88"/>
      <c r="H32" s="88"/>
    </row>
    <row r="33" spans="2:8" x14ac:dyDescent="0.25">
      <c r="B33" s="49"/>
      <c r="C33" s="280"/>
      <c r="D33" s="280"/>
      <c r="E33" s="280"/>
      <c r="F33" s="280"/>
      <c r="G33" s="88"/>
      <c r="H33" s="88"/>
    </row>
    <row r="34" spans="2:8" x14ac:dyDescent="0.25">
      <c r="B34" s="19"/>
      <c r="C34" s="19"/>
      <c r="D34" s="19"/>
      <c r="E34" s="19"/>
      <c r="F34" s="19"/>
      <c r="G34" s="19"/>
      <c r="H34" s="19"/>
    </row>
  </sheetData>
  <sheetProtection formatCells="0" formatColumns="0" formatRows="0" insertColumns="0" insertRows="0" insertHyperlinks="0" deleteColumns="0" deleteRows="0" sort="0" autoFilter="0" pivotTables="0"/>
  <mergeCells count="26">
    <mergeCell ref="E29:F29"/>
    <mergeCell ref="E28:F28"/>
    <mergeCell ref="A14:O14"/>
    <mergeCell ref="B23:E24"/>
    <mergeCell ref="F23:H23"/>
    <mergeCell ref="B25:E25"/>
    <mergeCell ref="B26:E26"/>
    <mergeCell ref="C28:D28"/>
    <mergeCell ref="C29:D29"/>
    <mergeCell ref="C33:D33"/>
    <mergeCell ref="E33:F33"/>
    <mergeCell ref="E32:F32"/>
    <mergeCell ref="E31:F31"/>
    <mergeCell ref="E30:F30"/>
    <mergeCell ref="C30:D30"/>
    <mergeCell ref="C31:D31"/>
    <mergeCell ref="C32:D32"/>
    <mergeCell ref="A9:A11"/>
    <mergeCell ref="H5:K5"/>
    <mergeCell ref="L5:O5"/>
    <mergeCell ref="A5:A6"/>
    <mergeCell ref="B5:B6"/>
    <mergeCell ref="C5:C6"/>
    <mergeCell ref="D5:F5"/>
    <mergeCell ref="G5:G6"/>
    <mergeCell ref="D10:O11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S28"/>
  <sheetViews>
    <sheetView view="pageBreakPreview" topLeftCell="A4" zoomScale="80" zoomScaleNormal="100" zoomScaleSheetLayoutView="80" workbookViewId="0">
      <selection activeCell="A17" sqref="A17:O17"/>
    </sheetView>
  </sheetViews>
  <sheetFormatPr defaultRowHeight="15" x14ac:dyDescent="0.25"/>
  <cols>
    <col min="1" max="1" width="12.140625" customWidth="1"/>
    <col min="2" max="2" width="38.5703125" bestFit="1" customWidth="1"/>
    <col min="7" max="7" width="10.28515625" customWidth="1"/>
    <col min="8" max="8" width="11.42578125" customWidth="1"/>
    <col min="9" max="9" width="11.140625" customWidth="1"/>
    <col min="12" max="12" width="10.140625" bestFit="1" customWidth="1"/>
    <col min="13" max="13" width="9.28515625" customWidth="1"/>
  </cols>
  <sheetData>
    <row r="1" spans="1:19" ht="15.75" x14ac:dyDescent="0.25">
      <c r="A1" s="14" t="s">
        <v>32</v>
      </c>
      <c r="B1" s="13" t="s">
        <v>39</v>
      </c>
    </row>
    <row r="2" spans="1:19" ht="15.75" x14ac:dyDescent="0.25">
      <c r="A2" s="14" t="s">
        <v>34</v>
      </c>
      <c r="B2" s="13" t="s">
        <v>51</v>
      </c>
    </row>
    <row r="3" spans="1:19" ht="15.75" x14ac:dyDescent="0.25">
      <c r="A3" s="14"/>
      <c r="B3" s="13"/>
    </row>
    <row r="4" spans="1:19" ht="15.75" x14ac:dyDescent="0.25">
      <c r="A4" s="14"/>
      <c r="B4" s="13"/>
    </row>
    <row r="5" spans="1:19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</row>
    <row r="6" spans="1:19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234" t="s">
        <v>30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1:19" s="76" customFormat="1" x14ac:dyDescent="0.25">
      <c r="A8" s="162">
        <v>182</v>
      </c>
      <c r="B8" s="51" t="s">
        <v>60</v>
      </c>
      <c r="C8" s="162" t="s">
        <v>57</v>
      </c>
      <c r="D8" s="17">
        <v>7.51</v>
      </c>
      <c r="E8" s="17">
        <v>11.72</v>
      </c>
      <c r="F8" s="17">
        <v>37.049999999999997</v>
      </c>
      <c r="G8" s="17">
        <v>285</v>
      </c>
      <c r="H8" s="17">
        <v>0.19</v>
      </c>
      <c r="I8" s="17">
        <v>1.17</v>
      </c>
      <c r="J8" s="17">
        <v>58</v>
      </c>
      <c r="K8" s="17">
        <v>0.21</v>
      </c>
      <c r="L8" s="17">
        <v>138.1</v>
      </c>
      <c r="M8" s="17">
        <v>184.37</v>
      </c>
      <c r="N8" s="17">
        <v>47.6</v>
      </c>
      <c r="O8" s="17">
        <v>1.23</v>
      </c>
      <c r="P8" s="95"/>
      <c r="Q8" s="95"/>
      <c r="R8" s="95"/>
      <c r="S8" s="95"/>
    </row>
    <row r="9" spans="1:19" s="73" customFormat="1" x14ac:dyDescent="0.2">
      <c r="A9" s="201">
        <v>2</v>
      </c>
      <c r="B9" s="10" t="s">
        <v>62</v>
      </c>
      <c r="C9" s="98">
        <v>60</v>
      </c>
      <c r="D9" s="109">
        <v>3.7</v>
      </c>
      <c r="E9" s="109">
        <v>8.5</v>
      </c>
      <c r="F9" s="109">
        <v>26.25</v>
      </c>
      <c r="G9" s="109">
        <v>155</v>
      </c>
      <c r="H9" s="109">
        <v>3.4000000000000002E-2</v>
      </c>
      <c r="I9" s="109"/>
      <c r="J9" s="109">
        <v>0.13</v>
      </c>
      <c r="K9" s="109">
        <v>0.44</v>
      </c>
      <c r="L9" s="109">
        <v>8.4</v>
      </c>
      <c r="M9" s="109">
        <v>22.5</v>
      </c>
      <c r="N9" s="109">
        <v>4.2</v>
      </c>
      <c r="O9" s="109">
        <v>0.35</v>
      </c>
      <c r="P9" s="86"/>
      <c r="Q9" s="86"/>
      <c r="R9" s="96"/>
      <c r="S9" s="96"/>
    </row>
    <row r="10" spans="1:19" s="75" customFormat="1" x14ac:dyDescent="0.2">
      <c r="A10" s="202"/>
      <c r="B10" s="52"/>
      <c r="C10" s="99"/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86"/>
      <c r="Q10" s="86"/>
      <c r="R10" s="97"/>
      <c r="S10" s="97"/>
    </row>
    <row r="11" spans="1:19" x14ac:dyDescent="0.25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19"/>
      <c r="Q11" s="19"/>
      <c r="R11" s="19"/>
    </row>
    <row r="12" spans="1:19" s="31" customFormat="1" ht="16.149999999999999" customHeight="1" x14ac:dyDescent="0.2">
      <c r="A12" s="141">
        <v>376</v>
      </c>
      <c r="B12" s="10" t="s">
        <v>73</v>
      </c>
      <c r="C12" s="162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56"/>
      <c r="Q12" s="56"/>
      <c r="R12" s="56"/>
    </row>
    <row r="13" spans="1:19" s="31" customFormat="1" ht="16.149999999999999" customHeight="1" x14ac:dyDescent="0.2">
      <c r="A13" s="111" t="s">
        <v>11</v>
      </c>
      <c r="B13" s="112"/>
      <c r="C13" s="112"/>
      <c r="D13" s="125">
        <f>SUM(D9:D12)</f>
        <v>3.77</v>
      </c>
      <c r="E13" s="125">
        <f>SUM(E9:E12)</f>
        <v>8.52</v>
      </c>
      <c r="F13" s="125">
        <f>SUM(F9:F12)</f>
        <v>41.25</v>
      </c>
      <c r="G13" s="125">
        <f>SUM(G9:G12)</f>
        <v>215</v>
      </c>
      <c r="H13" s="125"/>
      <c r="I13" s="125"/>
      <c r="J13" s="125"/>
      <c r="K13" s="125"/>
      <c r="L13" s="125"/>
      <c r="M13" s="125"/>
      <c r="N13" s="125"/>
      <c r="O13" s="125"/>
    </row>
    <row r="14" spans="1:19" s="15" customFormat="1" ht="18.75" x14ac:dyDescent="0.25">
      <c r="A14" s="268" t="s">
        <v>31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</row>
    <row r="15" spans="1:19" s="15" customFormat="1" ht="25.5" x14ac:dyDescent="0.25">
      <c r="A15" s="162">
        <v>88</v>
      </c>
      <c r="B15" s="10" t="s">
        <v>91</v>
      </c>
      <c r="C15" s="162">
        <v>250</v>
      </c>
      <c r="D15" s="17">
        <f>(7.06/4)+0.8</f>
        <v>2.5649999999999999</v>
      </c>
      <c r="E15" s="17">
        <f>(19.8/4)+0.2</f>
        <v>5.15</v>
      </c>
      <c r="F15" s="17">
        <f>31.61/4</f>
        <v>7.9024999999999999</v>
      </c>
      <c r="G15" s="17">
        <f>(359/4)+5+30</f>
        <v>124.75</v>
      </c>
      <c r="H15" s="17">
        <f>0.23/4</f>
        <v>5.7500000000000002E-2</v>
      </c>
      <c r="I15" s="17">
        <f>63.1/4</f>
        <v>15.775</v>
      </c>
      <c r="J15" s="17"/>
      <c r="K15" s="17">
        <f>9.4/4</f>
        <v>2.35</v>
      </c>
      <c r="L15" s="17">
        <f>(197/4)+2</f>
        <v>51.25</v>
      </c>
      <c r="M15" s="17">
        <f>196/4</f>
        <v>49</v>
      </c>
      <c r="N15" s="17">
        <f>88.5/4</f>
        <v>22.125</v>
      </c>
      <c r="O15" s="17">
        <f>3.3/4</f>
        <v>0.82499999999999996</v>
      </c>
    </row>
    <row r="16" spans="1:19" s="15" customFormat="1" x14ac:dyDescent="0.25">
      <c r="A16" s="16">
        <v>227</v>
      </c>
      <c r="B16" s="10" t="s">
        <v>56</v>
      </c>
      <c r="C16" s="16">
        <v>110</v>
      </c>
      <c r="D16" s="17">
        <v>17.12</v>
      </c>
      <c r="E16" s="17">
        <v>8.2200000000000006</v>
      </c>
      <c r="F16" s="17">
        <v>0.92</v>
      </c>
      <c r="G16" s="17">
        <v>146</v>
      </c>
      <c r="H16" s="17">
        <v>0.08</v>
      </c>
      <c r="I16" s="17">
        <v>0.84</v>
      </c>
      <c r="J16" s="17">
        <v>49</v>
      </c>
      <c r="K16" s="17">
        <v>0.48</v>
      </c>
      <c r="L16" s="17">
        <v>15.46</v>
      </c>
      <c r="M16" s="17">
        <v>195.68</v>
      </c>
      <c r="N16" s="17">
        <v>45.84</v>
      </c>
      <c r="O16" s="17">
        <v>0.9</v>
      </c>
    </row>
    <row r="17" spans="1:15" s="15" customFormat="1" x14ac:dyDescent="0.25">
      <c r="A17" s="162">
        <v>304</v>
      </c>
      <c r="B17" s="10" t="s">
        <v>16</v>
      </c>
      <c r="C17" s="162">
        <v>200</v>
      </c>
      <c r="D17" s="17">
        <v>4.84</v>
      </c>
      <c r="E17" s="17">
        <v>7.16</v>
      </c>
      <c r="F17" s="17">
        <f>244.56/20*4</f>
        <v>48.911999999999999</v>
      </c>
      <c r="G17" s="17">
        <f>1398/20*4</f>
        <v>279.60000000000002</v>
      </c>
      <c r="H17" s="17">
        <f>0.17/20*4</f>
        <v>3.4000000000000002E-2</v>
      </c>
      <c r="I17" s="17"/>
      <c r="J17" s="17"/>
      <c r="K17" s="17">
        <f>1.88/20*4</f>
        <v>0.376</v>
      </c>
      <c r="L17" s="17">
        <f>9.1/20*4</f>
        <v>1.8199999999999998</v>
      </c>
      <c r="M17" s="17">
        <f>406.3/20*4</f>
        <v>81.260000000000005</v>
      </c>
      <c r="N17" s="17">
        <f>108.9/20*4</f>
        <v>21.78</v>
      </c>
      <c r="O17" s="17">
        <f>3.51/20*4</f>
        <v>0.70199999999999996</v>
      </c>
    </row>
    <row r="18" spans="1:15" s="15" customFormat="1" x14ac:dyDescent="0.25">
      <c r="A18" s="52"/>
      <c r="B18" s="10" t="s">
        <v>14</v>
      </c>
      <c r="C18" s="16">
        <v>40</v>
      </c>
      <c r="D18" s="17">
        <v>2.2400000000000002</v>
      </c>
      <c r="E18" s="17">
        <v>0.88</v>
      </c>
      <c r="F18" s="17">
        <v>19.760000000000002</v>
      </c>
      <c r="G18" s="17">
        <v>91.96</v>
      </c>
      <c r="H18" s="17">
        <v>0.04</v>
      </c>
      <c r="I18" s="17"/>
      <c r="J18" s="17"/>
      <c r="K18" s="17">
        <v>0.36</v>
      </c>
      <c r="L18" s="17">
        <v>9.1999999999999993</v>
      </c>
      <c r="M18" s="17">
        <v>42.4</v>
      </c>
      <c r="N18" s="17">
        <v>10</v>
      </c>
      <c r="O18" s="17">
        <v>1.24</v>
      </c>
    </row>
    <row r="19" spans="1:15" s="15" customFormat="1" x14ac:dyDescent="0.25">
      <c r="A19" s="142">
        <v>377</v>
      </c>
      <c r="B19" s="10" t="s">
        <v>71</v>
      </c>
      <c r="C19" s="105" t="s">
        <v>72</v>
      </c>
      <c r="D19" s="106">
        <v>0.53</v>
      </c>
      <c r="E19" s="105">
        <v>0</v>
      </c>
      <c r="F19" s="106">
        <v>9.8699999999999992</v>
      </c>
      <c r="G19" s="105">
        <v>41.6</v>
      </c>
      <c r="H19" s="106"/>
      <c r="I19" s="105">
        <v>2.13</v>
      </c>
      <c r="J19" s="106">
        <v>0</v>
      </c>
      <c r="K19" s="105"/>
      <c r="L19" s="106">
        <v>15.33</v>
      </c>
      <c r="M19" s="105"/>
      <c r="N19" s="106">
        <v>12.27</v>
      </c>
      <c r="O19" s="107">
        <v>2.13</v>
      </c>
    </row>
    <row r="20" spans="1:15" s="12" customFormat="1" ht="16.149999999999999" customHeight="1" x14ac:dyDescent="0.2">
      <c r="A20" s="111" t="s">
        <v>11</v>
      </c>
      <c r="B20" s="111"/>
      <c r="C20" s="111"/>
      <c r="D20" s="125">
        <f>SUM(D16:D19)</f>
        <v>24.730000000000004</v>
      </c>
      <c r="E20" s="125">
        <f>SUM(E16:E19)</f>
        <v>16.260000000000002</v>
      </c>
      <c r="F20" s="125">
        <f>SUM(F16:F19)</f>
        <v>79.462000000000003</v>
      </c>
      <c r="G20" s="125">
        <f>SUM(G16:G19)</f>
        <v>559.16000000000008</v>
      </c>
      <c r="H20" s="125"/>
      <c r="I20" s="125"/>
      <c r="J20" s="125"/>
      <c r="K20" s="125"/>
      <c r="L20" s="125"/>
      <c r="M20" s="125"/>
      <c r="N20" s="125"/>
      <c r="O20" s="125"/>
    </row>
    <row r="21" spans="1:15" ht="25.5" x14ac:dyDescent="0.25">
      <c r="A21" s="111" t="s">
        <v>15</v>
      </c>
      <c r="B21" s="112"/>
      <c r="C21" s="112"/>
      <c r="D21" s="115">
        <f>D13+D20</f>
        <v>28.500000000000004</v>
      </c>
      <c r="E21" s="115">
        <f>E13+E20</f>
        <v>24.78</v>
      </c>
      <c r="F21" s="115">
        <f>F13+F20</f>
        <v>120.712</v>
      </c>
      <c r="G21" s="115">
        <f>G13+G20</f>
        <v>774.16000000000008</v>
      </c>
      <c r="H21" s="125"/>
      <c r="I21" s="125"/>
      <c r="J21" s="125"/>
      <c r="K21" s="125"/>
      <c r="L21" s="125"/>
      <c r="M21" s="125"/>
      <c r="N21" s="125"/>
      <c r="O21" s="125"/>
    </row>
    <row r="22" spans="1:15" ht="15.75" thickBot="1" x14ac:dyDescent="0.3"/>
    <row r="23" spans="1:15" ht="26.25" thickBot="1" x14ac:dyDescent="0.3">
      <c r="B23" s="180" t="s">
        <v>41</v>
      </c>
      <c r="C23" s="181"/>
      <c r="D23" s="181"/>
      <c r="E23" s="181"/>
      <c r="F23" s="222" t="s">
        <v>42</v>
      </c>
      <c r="G23" s="223"/>
      <c r="H23" s="224"/>
      <c r="I23" s="39" t="s">
        <v>43</v>
      </c>
    </row>
    <row r="24" spans="1:15" ht="15.75" thickBot="1" x14ac:dyDescent="0.3">
      <c r="B24" s="183"/>
      <c r="C24" s="184"/>
      <c r="D24" s="184"/>
      <c r="E24" s="184"/>
      <c r="F24" s="40" t="s">
        <v>1</v>
      </c>
      <c r="G24" s="40" t="s">
        <v>2</v>
      </c>
      <c r="H24" s="40" t="s">
        <v>3</v>
      </c>
      <c r="I24" s="41"/>
    </row>
    <row r="25" spans="1:15" ht="15.75" thickBot="1" x14ac:dyDescent="0.3">
      <c r="B25" s="189" t="s">
        <v>45</v>
      </c>
      <c r="C25" s="190"/>
      <c r="D25" s="190"/>
      <c r="E25" s="190"/>
      <c r="F25" s="40" t="s">
        <v>46</v>
      </c>
      <c r="G25" s="40" t="s">
        <v>47</v>
      </c>
      <c r="H25" s="40" t="s">
        <v>48</v>
      </c>
      <c r="I25" s="40" t="s">
        <v>49</v>
      </c>
    </row>
    <row r="26" spans="1:15" ht="15.75" thickBot="1" x14ac:dyDescent="0.3">
      <c r="B26" s="189" t="s">
        <v>44</v>
      </c>
      <c r="C26" s="190"/>
      <c r="D26" s="190"/>
      <c r="E26" s="190"/>
      <c r="F26" s="42">
        <f>D21</f>
        <v>28.500000000000004</v>
      </c>
      <c r="G26" s="42">
        <f>E21</f>
        <v>24.78</v>
      </c>
      <c r="H26" s="42">
        <f>F21</f>
        <v>120.712</v>
      </c>
      <c r="I26" s="42">
        <f>G21</f>
        <v>774.16000000000008</v>
      </c>
    </row>
    <row r="27" spans="1:15" ht="35.25" customHeight="1" x14ac:dyDescent="0.25"/>
    <row r="28" spans="1:15" x14ac:dyDescent="0.25">
      <c r="B28" s="19"/>
      <c r="C28" s="19"/>
      <c r="D28" s="19"/>
      <c r="E28" s="19"/>
      <c r="F28" s="19"/>
      <c r="G28" s="19"/>
      <c r="H28" s="19"/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14:O14"/>
    <mergeCell ref="A9:A11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43"/>
  <sheetViews>
    <sheetView view="pageBreakPreview" topLeftCell="A4" zoomScale="80" zoomScaleNormal="100" zoomScaleSheetLayoutView="80" workbookViewId="0">
      <selection activeCell="A8" sqref="A8:O8"/>
    </sheetView>
  </sheetViews>
  <sheetFormatPr defaultColWidth="9.140625" defaultRowHeight="12.75" x14ac:dyDescent="0.2"/>
  <cols>
    <col min="1" max="1" width="14.7109375" style="28" customWidth="1"/>
    <col min="2" max="2" width="32" style="28" bestFit="1" customWidth="1"/>
    <col min="3" max="3" width="9.28515625" style="28" bestFit="1" customWidth="1"/>
    <col min="4" max="4" width="11.28515625" style="28" bestFit="1" customWidth="1"/>
    <col min="5" max="6" width="9.28515625" style="28" bestFit="1" customWidth="1"/>
    <col min="7" max="7" width="12.7109375" style="28" customWidth="1"/>
    <col min="8" max="8" width="10.85546875" style="28" customWidth="1"/>
    <col min="9" max="9" width="10.7109375" style="28" customWidth="1"/>
    <col min="10" max="10" width="9.28515625" style="28" bestFit="1" customWidth="1"/>
    <col min="11" max="11" width="11.28515625" style="28" customWidth="1"/>
    <col min="12" max="12" width="12.28515625" style="28" customWidth="1"/>
    <col min="13" max="13" width="10.42578125" style="28" bestFit="1" customWidth="1"/>
    <col min="14" max="15" width="9.28515625" style="28" bestFit="1" customWidth="1"/>
    <col min="16" max="16384" width="9.140625" style="28"/>
  </cols>
  <sheetData>
    <row r="1" spans="1:15" x14ac:dyDescent="0.2">
      <c r="A1" s="26" t="s">
        <v>32</v>
      </c>
      <c r="B1" s="27" t="s">
        <v>33</v>
      </c>
    </row>
    <row r="2" spans="1:15" x14ac:dyDescent="0.2">
      <c r="A2" s="26" t="s">
        <v>34</v>
      </c>
      <c r="B2" s="27" t="s">
        <v>35</v>
      </c>
    </row>
    <row r="3" spans="1:15" x14ac:dyDescent="0.2">
      <c r="A3" s="26"/>
      <c r="B3" s="27"/>
    </row>
    <row r="4" spans="1:15" x14ac:dyDescent="0.2">
      <c r="A4" s="26"/>
      <c r="B4" s="27"/>
    </row>
    <row r="5" spans="1:15" ht="15.75" customHeight="1" x14ac:dyDescent="0.2">
      <c r="A5" s="195" t="s">
        <v>25</v>
      </c>
      <c r="B5" s="195" t="s">
        <v>19</v>
      </c>
      <c r="C5" s="195" t="s">
        <v>21</v>
      </c>
      <c r="D5" s="192" t="s">
        <v>28</v>
      </c>
      <c r="E5" s="193"/>
      <c r="F5" s="194"/>
      <c r="G5" s="195" t="s">
        <v>0</v>
      </c>
      <c r="H5" s="192" t="s">
        <v>27</v>
      </c>
      <c r="I5" s="193"/>
      <c r="J5" s="193"/>
      <c r="K5" s="194"/>
      <c r="L5" s="192" t="s">
        <v>26</v>
      </c>
      <c r="M5" s="193"/>
      <c r="N5" s="193"/>
      <c r="O5" s="194"/>
    </row>
    <row r="6" spans="1:15" ht="24" customHeight="1" x14ac:dyDescent="0.2">
      <c r="A6" s="196"/>
      <c r="B6" s="200"/>
      <c r="C6" s="199"/>
      <c r="D6" s="29" t="s">
        <v>1</v>
      </c>
      <c r="E6" s="29" t="s">
        <v>2</v>
      </c>
      <c r="F6" s="29" t="s">
        <v>3</v>
      </c>
      <c r="G6" s="196"/>
      <c r="H6" s="29" t="s">
        <v>40</v>
      </c>
      <c r="I6" s="29" t="s">
        <v>4</v>
      </c>
      <c r="J6" s="29" t="s">
        <v>5</v>
      </c>
      <c r="K6" s="29" t="s">
        <v>6</v>
      </c>
      <c r="L6" s="29" t="s">
        <v>7</v>
      </c>
      <c r="M6" s="29" t="s">
        <v>8</v>
      </c>
      <c r="N6" s="29" t="s">
        <v>9</v>
      </c>
      <c r="O6" s="29" t="s">
        <v>10</v>
      </c>
    </row>
    <row r="7" spans="1:15" x14ac:dyDescent="0.2">
      <c r="A7" s="197" t="s">
        <v>30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</row>
    <row r="8" spans="1:15" s="30" customFormat="1" ht="38.25" x14ac:dyDescent="0.2">
      <c r="A8" s="16">
        <v>173</v>
      </c>
      <c r="B8" s="10" t="s">
        <v>64</v>
      </c>
      <c r="C8" s="16" t="s">
        <v>57</v>
      </c>
      <c r="D8" s="17">
        <v>9.0399999999999991</v>
      </c>
      <c r="E8" s="17">
        <v>13.44</v>
      </c>
      <c r="F8" s="17">
        <v>40.159999999999997</v>
      </c>
      <c r="G8" s="17">
        <v>318</v>
      </c>
      <c r="H8" s="17">
        <v>0.21</v>
      </c>
      <c r="I8" s="17">
        <v>0.96</v>
      </c>
      <c r="J8" s="17">
        <v>54.8</v>
      </c>
      <c r="K8" s="17">
        <v>0.73</v>
      </c>
      <c r="L8" s="17">
        <v>158.65</v>
      </c>
      <c r="M8" s="17">
        <v>264.86</v>
      </c>
      <c r="N8" s="17">
        <v>72.05</v>
      </c>
      <c r="O8" s="17">
        <v>2.09</v>
      </c>
    </row>
    <row r="9" spans="1:15" s="15" customFormat="1" ht="25.5" x14ac:dyDescent="0.25">
      <c r="A9" s="201">
        <v>3</v>
      </c>
      <c r="B9" s="10" t="s">
        <v>52</v>
      </c>
      <c r="C9" s="16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</row>
    <row r="10" spans="1:15" s="15" customFormat="1" ht="15" x14ac:dyDescent="0.25">
      <c r="A10" s="202"/>
      <c r="B10" s="52" t="s">
        <v>53</v>
      </c>
      <c r="C10" s="65">
        <v>30</v>
      </c>
      <c r="D10" s="204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6"/>
    </row>
    <row r="11" spans="1:15" s="15" customFormat="1" ht="15" x14ac:dyDescent="0.25">
      <c r="A11" s="202"/>
      <c r="B11" s="52" t="s">
        <v>54</v>
      </c>
      <c r="C11" s="65">
        <v>5</v>
      </c>
      <c r="D11" s="207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</row>
    <row r="12" spans="1:15" s="15" customFormat="1" ht="15" x14ac:dyDescent="0.25">
      <c r="A12" s="203"/>
      <c r="B12" s="52" t="s">
        <v>58</v>
      </c>
      <c r="C12" s="65">
        <v>15</v>
      </c>
      <c r="D12" s="210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2"/>
    </row>
    <row r="13" spans="1:15" s="15" customFormat="1" ht="15" x14ac:dyDescent="0.25">
      <c r="A13" s="162">
        <v>376</v>
      </c>
      <c r="B13" s="10" t="s">
        <v>73</v>
      </c>
      <c r="C13" s="162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/>
      <c r="I13" s="17">
        <v>0.03</v>
      </c>
      <c r="J13" s="17"/>
      <c r="K13" s="17"/>
      <c r="L13" s="17">
        <v>11.1</v>
      </c>
      <c r="M13" s="17"/>
      <c r="N13" s="17">
        <v>1.4</v>
      </c>
      <c r="O13" s="46">
        <v>0.28000000000000003</v>
      </c>
    </row>
    <row r="14" spans="1:15" s="30" customFormat="1" x14ac:dyDescent="0.2">
      <c r="A14" s="111" t="s">
        <v>11</v>
      </c>
      <c r="B14" s="112"/>
      <c r="C14" s="112"/>
      <c r="D14" s="113">
        <f>SUM(D8:D13)</f>
        <v>14.91</v>
      </c>
      <c r="E14" s="113">
        <f>SUM(E8:E13)</f>
        <v>21.76</v>
      </c>
      <c r="F14" s="113">
        <f>SUM(F8:F13)</f>
        <v>69.989999999999995</v>
      </c>
      <c r="G14" s="113">
        <f>SUM(G8:G13)</f>
        <v>535</v>
      </c>
      <c r="H14" s="114"/>
      <c r="I14" s="114"/>
      <c r="J14" s="114"/>
      <c r="K14" s="114"/>
      <c r="L14" s="114"/>
      <c r="M14" s="114"/>
      <c r="N14" s="114"/>
      <c r="O14" s="114"/>
    </row>
    <row r="15" spans="1:15" s="30" customFormat="1" ht="15" customHeight="1" x14ac:dyDescent="0.2">
      <c r="A15" s="213" t="s">
        <v>20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4"/>
    </row>
    <row r="16" spans="1:15" s="15" customFormat="1" ht="15" x14ac:dyDescent="0.25">
      <c r="A16" s="16">
        <v>96</v>
      </c>
      <c r="B16" s="10" t="s">
        <v>83</v>
      </c>
      <c r="C16" s="16">
        <v>250</v>
      </c>
      <c r="D16" s="17">
        <f>8.07/4+0.8</f>
        <v>2.8174999999999999</v>
      </c>
      <c r="E16" s="17">
        <f>(20.36/4)+0.2</f>
        <v>5.29</v>
      </c>
      <c r="F16" s="17">
        <f>47.92/4</f>
        <v>11.98</v>
      </c>
      <c r="G16" s="17">
        <f>429/4+5+30</f>
        <v>142.25</v>
      </c>
      <c r="H16" s="17">
        <f>0.37/4</f>
        <v>9.2499999999999999E-2</v>
      </c>
      <c r="I16" s="17">
        <f>33.5/4</f>
        <v>8.375</v>
      </c>
      <c r="J16" s="17"/>
      <c r="K16" s="17">
        <f>9.4/4</f>
        <v>2.35</v>
      </c>
      <c r="L16" s="17">
        <f>116.6/4+2</f>
        <v>31.15</v>
      </c>
      <c r="M16" s="17">
        <f>226.9/4</f>
        <v>56.725000000000001</v>
      </c>
      <c r="N16" s="17">
        <f>96.7/4</f>
        <v>24.175000000000001</v>
      </c>
      <c r="O16" s="17">
        <f>3.7/4</f>
        <v>0.92500000000000004</v>
      </c>
    </row>
    <row r="17" spans="1:15" s="30" customFormat="1" x14ac:dyDescent="0.2">
      <c r="A17" s="16">
        <v>309</v>
      </c>
      <c r="B17" s="10" t="s">
        <v>12</v>
      </c>
      <c r="C17" s="16">
        <v>200</v>
      </c>
      <c r="D17" s="17">
        <v>7.36</v>
      </c>
      <c r="E17" s="17">
        <v>6.02</v>
      </c>
      <c r="F17" s="17">
        <v>35.24</v>
      </c>
      <c r="G17" s="17">
        <v>224.6</v>
      </c>
      <c r="H17" s="17">
        <v>0.08</v>
      </c>
      <c r="I17" s="17"/>
      <c r="J17" s="17"/>
      <c r="K17" s="17">
        <f>6.46/100*15</f>
        <v>0.96900000000000008</v>
      </c>
      <c r="L17" s="17">
        <f>32.4/100*15</f>
        <v>4.8600000000000003</v>
      </c>
      <c r="M17" s="17">
        <f>247.8/100*15</f>
        <v>37.17</v>
      </c>
      <c r="N17" s="17">
        <f>140.8/100*15</f>
        <v>21.12</v>
      </c>
      <c r="O17" s="17">
        <f>7.37/100*15</f>
        <v>1.1054999999999999</v>
      </c>
    </row>
    <row r="18" spans="1:15" s="15" customFormat="1" ht="15" x14ac:dyDescent="0.25">
      <c r="A18" s="16"/>
      <c r="B18" s="10" t="s">
        <v>67</v>
      </c>
      <c r="C18" s="16">
        <v>100</v>
      </c>
      <c r="D18" s="17">
        <v>10</v>
      </c>
      <c r="E18" s="17">
        <v>16</v>
      </c>
      <c r="F18" s="17">
        <v>3</v>
      </c>
      <c r="G18" s="17">
        <v>196</v>
      </c>
      <c r="H18" s="17"/>
      <c r="I18" s="17"/>
      <c r="J18" s="17"/>
      <c r="K18" s="17"/>
      <c r="L18" s="17"/>
      <c r="M18" s="17"/>
      <c r="N18" s="17"/>
      <c r="O18" s="17"/>
    </row>
    <row r="19" spans="1:15" s="30" customFormat="1" x14ac:dyDescent="0.2">
      <c r="A19" s="16">
        <v>349</v>
      </c>
      <c r="B19" s="10" t="s">
        <v>84</v>
      </c>
      <c r="C19" s="16">
        <v>200</v>
      </c>
      <c r="D19" s="17">
        <v>0.66</v>
      </c>
      <c r="E19" s="17">
        <v>0.09</v>
      </c>
      <c r="F19" s="17">
        <v>32.01</v>
      </c>
      <c r="G19" s="17">
        <v>132.80000000000001</v>
      </c>
      <c r="H19" s="17"/>
      <c r="I19" s="17">
        <v>0.73</v>
      </c>
      <c r="J19" s="17"/>
      <c r="K19" s="17"/>
      <c r="L19" s="17">
        <v>32.479999999999997</v>
      </c>
      <c r="M19" s="17"/>
      <c r="N19" s="17">
        <v>17.46</v>
      </c>
      <c r="O19" s="17">
        <v>0.7</v>
      </c>
    </row>
    <row r="20" spans="1:15" s="30" customFormat="1" x14ac:dyDescent="0.2">
      <c r="A20" s="52"/>
      <c r="B20" s="10" t="s">
        <v>14</v>
      </c>
      <c r="C20" s="16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5" s="30" customFormat="1" x14ac:dyDescent="0.2">
      <c r="A21" s="111" t="s">
        <v>11</v>
      </c>
      <c r="B21" s="112"/>
      <c r="C21" s="112"/>
      <c r="D21" s="115">
        <f>SUM(D16:D20)</f>
        <v>23.077500000000001</v>
      </c>
      <c r="E21" s="115">
        <f>SUM(E16:E20)</f>
        <v>28.279999999999998</v>
      </c>
      <c r="F21" s="115">
        <f>SUM(F16:F20)</f>
        <v>101.99</v>
      </c>
      <c r="G21" s="115">
        <f>SUM(G16:G20)</f>
        <v>787.61000000000013</v>
      </c>
      <c r="H21" s="113"/>
      <c r="I21" s="113"/>
      <c r="J21" s="113"/>
      <c r="K21" s="113"/>
      <c r="L21" s="113"/>
      <c r="M21" s="113"/>
      <c r="N21" s="113"/>
      <c r="O21" s="113"/>
    </row>
    <row r="22" spans="1:15" x14ac:dyDescent="0.2">
      <c r="A22" s="34" t="s">
        <v>15</v>
      </c>
      <c r="B22" s="35"/>
      <c r="C22" s="35"/>
      <c r="D22" s="36">
        <f>D14+D21</f>
        <v>37.987499999999997</v>
      </c>
      <c r="E22" s="36">
        <f>E14+E21</f>
        <v>50.04</v>
      </c>
      <c r="F22" s="36">
        <f>F14+F21</f>
        <v>171.98</v>
      </c>
      <c r="G22" s="36">
        <f>G14+G21</f>
        <v>1322.6100000000001</v>
      </c>
      <c r="H22" s="36"/>
      <c r="I22" s="36"/>
      <c r="J22" s="36"/>
      <c r="K22" s="36"/>
      <c r="L22" s="36"/>
      <c r="M22" s="36"/>
      <c r="N22" s="36"/>
      <c r="O22" s="36"/>
    </row>
    <row r="23" spans="1:15" ht="13.5" thickBot="1" x14ac:dyDescent="0.25"/>
    <row r="24" spans="1:15" ht="27" customHeight="1" thickBot="1" x14ac:dyDescent="0.25">
      <c r="B24" s="180" t="s">
        <v>41</v>
      </c>
      <c r="C24" s="181"/>
      <c r="D24" s="181"/>
      <c r="E24" s="182"/>
      <c r="F24" s="186" t="s">
        <v>42</v>
      </c>
      <c r="G24" s="187"/>
      <c r="H24" s="188"/>
      <c r="I24" s="39" t="s">
        <v>43</v>
      </c>
      <c r="K24" s="26"/>
      <c r="L24" s="27"/>
    </row>
    <row r="25" spans="1:15" ht="13.5" thickBot="1" x14ac:dyDescent="0.25">
      <c r="B25" s="183"/>
      <c r="C25" s="184"/>
      <c r="D25" s="184"/>
      <c r="E25" s="185"/>
      <c r="F25" s="40" t="s">
        <v>1</v>
      </c>
      <c r="G25" s="40" t="s">
        <v>2</v>
      </c>
      <c r="H25" s="40" t="s">
        <v>3</v>
      </c>
      <c r="I25" s="41"/>
      <c r="K25" s="26"/>
      <c r="L25" s="27"/>
    </row>
    <row r="26" spans="1:15" ht="15.75" thickBot="1" x14ac:dyDescent="0.25">
      <c r="B26" s="189" t="s">
        <v>45</v>
      </c>
      <c r="C26" s="190"/>
      <c r="D26" s="190"/>
      <c r="E26" s="191"/>
      <c r="F26" s="40" t="s">
        <v>46</v>
      </c>
      <c r="G26" s="40" t="s">
        <v>47</v>
      </c>
      <c r="H26" s="40" t="s">
        <v>48</v>
      </c>
      <c r="I26" s="40" t="s">
        <v>49</v>
      </c>
      <c r="K26" s="26"/>
      <c r="L26" s="27"/>
    </row>
    <row r="27" spans="1:15" ht="15.75" thickBot="1" x14ac:dyDescent="0.25">
      <c r="B27" s="189" t="s">
        <v>44</v>
      </c>
      <c r="C27" s="190"/>
      <c r="D27" s="190"/>
      <c r="E27" s="190"/>
      <c r="F27" s="42">
        <f>D22</f>
        <v>37.987499999999997</v>
      </c>
      <c r="G27" s="42">
        <f>E22</f>
        <v>50.04</v>
      </c>
      <c r="H27" s="42">
        <f>F22</f>
        <v>171.98</v>
      </c>
      <c r="I27" s="42">
        <f>G22</f>
        <v>1322.6100000000001</v>
      </c>
      <c r="K27" s="26"/>
      <c r="L27" s="27"/>
    </row>
    <row r="28" spans="1:15" x14ac:dyDescent="0.2">
      <c r="O28" s="47"/>
    </row>
    <row r="34" spans="2:6" ht="15" x14ac:dyDescent="0.25">
      <c r="B34"/>
      <c r="C34"/>
      <c r="D34"/>
      <c r="E34"/>
      <c r="F34"/>
    </row>
    <row r="35" spans="2:6" ht="15" x14ac:dyDescent="0.25">
      <c r="B35" s="48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 s="48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 s="48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 s="48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 s="48"/>
      <c r="C43"/>
      <c r="D43"/>
      <c r="E43"/>
      <c r="F43"/>
    </row>
  </sheetData>
  <sheetProtection formatCells="0" formatColumns="0" formatRows="0" insertColumns="0" insertRows="0" insertHyperlinks="0" deleteColumns="0" deleteRows="0" sort="0" autoFilter="0" pivotTables="0"/>
  <mergeCells count="15">
    <mergeCell ref="B24:E25"/>
    <mergeCell ref="F24:H24"/>
    <mergeCell ref="B26:E26"/>
    <mergeCell ref="B27:E27"/>
    <mergeCell ref="L5:O5"/>
    <mergeCell ref="G5:G6"/>
    <mergeCell ref="A7:O7"/>
    <mergeCell ref="D5:F5"/>
    <mergeCell ref="H5:K5"/>
    <mergeCell ref="C5:C6"/>
    <mergeCell ref="B5:B6"/>
    <mergeCell ref="A5:A6"/>
    <mergeCell ref="A9:A12"/>
    <mergeCell ref="D10:O12"/>
    <mergeCell ref="A15:O15"/>
  </mergeCells>
  <pageMargins left="1" right="1" top="1" bottom="1" header="0.5" footer="0.5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S46"/>
  <sheetViews>
    <sheetView view="pageBreakPreview" zoomScale="80" zoomScaleNormal="90" zoomScaleSheetLayoutView="80" workbookViewId="0">
      <selection activeCell="C17" sqref="C17:O17"/>
    </sheetView>
  </sheetViews>
  <sheetFormatPr defaultRowHeight="15" x14ac:dyDescent="0.25"/>
  <cols>
    <col min="1" max="1" width="12.7109375" bestFit="1" customWidth="1"/>
    <col min="2" max="2" width="24.5703125" customWidth="1"/>
    <col min="7" max="7" width="12.7109375" customWidth="1"/>
    <col min="10" max="10" width="10.140625" bestFit="1" customWidth="1"/>
  </cols>
  <sheetData>
    <row r="1" spans="1:19" ht="15.75" x14ac:dyDescent="0.25">
      <c r="A1" s="14" t="s">
        <v>32</v>
      </c>
      <c r="B1" s="13" t="s">
        <v>36</v>
      </c>
    </row>
    <row r="2" spans="1:19" ht="15.75" x14ac:dyDescent="0.25">
      <c r="A2" s="14" t="s">
        <v>34</v>
      </c>
      <c r="B2" s="13" t="s">
        <v>35</v>
      </c>
    </row>
    <row r="3" spans="1:19" ht="15.75" x14ac:dyDescent="0.25">
      <c r="A3" s="14"/>
      <c r="B3" s="13"/>
    </row>
    <row r="4" spans="1:19" ht="15.75" x14ac:dyDescent="0.25">
      <c r="A4" s="14"/>
      <c r="B4" s="13"/>
    </row>
    <row r="5" spans="1:19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</row>
    <row r="6" spans="1:19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ht="18.75" x14ac:dyDescent="0.25">
      <c r="A7" s="225" t="s">
        <v>30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7"/>
    </row>
    <row r="8" spans="1:19" s="12" customFormat="1" ht="25.5" x14ac:dyDescent="0.2">
      <c r="A8" s="9">
        <v>182</v>
      </c>
      <c r="B8" s="10" t="s">
        <v>65</v>
      </c>
      <c r="C8" s="9">
        <v>220</v>
      </c>
      <c r="D8" s="11">
        <v>5.0999999999999996</v>
      </c>
      <c r="E8" s="11">
        <v>10.72</v>
      </c>
      <c r="F8" s="11">
        <v>33.42</v>
      </c>
      <c r="G8" s="11">
        <v>251</v>
      </c>
      <c r="H8" s="11">
        <v>0.06</v>
      </c>
      <c r="I8" s="11">
        <v>1.17</v>
      </c>
      <c r="J8" s="11">
        <v>58</v>
      </c>
      <c r="K8" s="11">
        <v>0.21</v>
      </c>
      <c r="L8" s="11">
        <v>130.09</v>
      </c>
      <c r="M8" s="11">
        <v>138.13999999999999</v>
      </c>
      <c r="N8" s="11">
        <v>30.12</v>
      </c>
      <c r="O8" s="11">
        <v>0.47</v>
      </c>
    </row>
    <row r="9" spans="1:19" s="76" customFormat="1" x14ac:dyDescent="0.25">
      <c r="A9" s="201">
        <v>2</v>
      </c>
      <c r="B9" s="10" t="s">
        <v>62</v>
      </c>
      <c r="C9" s="98">
        <v>60</v>
      </c>
      <c r="D9" s="109">
        <v>3.7</v>
      </c>
      <c r="E9" s="109">
        <v>8.5</v>
      </c>
      <c r="F9" s="109">
        <v>26.25</v>
      </c>
      <c r="G9" s="109">
        <v>155</v>
      </c>
      <c r="H9" s="109">
        <v>3.4000000000000002E-2</v>
      </c>
      <c r="I9" s="109"/>
      <c r="J9" s="109">
        <v>0.13</v>
      </c>
      <c r="K9" s="109">
        <v>0.44</v>
      </c>
      <c r="L9" s="109">
        <v>8.4</v>
      </c>
      <c r="M9" s="109">
        <v>22.5</v>
      </c>
      <c r="N9" s="109">
        <v>4.2</v>
      </c>
      <c r="O9" s="109">
        <v>0.35</v>
      </c>
      <c r="P9" s="95"/>
      <c r="Q9" s="95"/>
      <c r="R9" s="95"/>
      <c r="S9" s="95"/>
    </row>
    <row r="10" spans="1:19" s="73" customFormat="1" x14ac:dyDescent="0.2">
      <c r="A10" s="202"/>
      <c r="B10" s="52" t="s">
        <v>63</v>
      </c>
      <c r="C10" s="99">
        <v>50</v>
      </c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86"/>
      <c r="Q10" s="86"/>
      <c r="R10" s="96"/>
      <c r="S10" s="96"/>
    </row>
    <row r="11" spans="1:19" s="75" customFormat="1" x14ac:dyDescent="0.2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86"/>
      <c r="Q11" s="86"/>
      <c r="R11" s="97"/>
      <c r="S11" s="97"/>
    </row>
    <row r="12" spans="1:19" s="15" customFormat="1" x14ac:dyDescent="0.25">
      <c r="A12" s="16">
        <v>376</v>
      </c>
      <c r="B12" s="10" t="s">
        <v>73</v>
      </c>
      <c r="C12" s="16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/>
      <c r="I12" s="17">
        <v>0.03</v>
      </c>
      <c r="J12" s="17"/>
      <c r="K12" s="17"/>
      <c r="L12" s="17">
        <v>11.1</v>
      </c>
      <c r="M12" s="17"/>
      <c r="N12" s="17">
        <v>1.4</v>
      </c>
      <c r="O12" s="46">
        <v>0.28000000000000003</v>
      </c>
    </row>
    <row r="13" spans="1:19" s="15" customFormat="1" x14ac:dyDescent="0.25">
      <c r="A13" s="111" t="s">
        <v>11</v>
      </c>
      <c r="B13" s="112"/>
      <c r="C13" s="112"/>
      <c r="D13" s="125">
        <f>SUM(D8:D12)</f>
        <v>8.870000000000001</v>
      </c>
      <c r="E13" s="125">
        <f>SUM(E8:E12)</f>
        <v>19.239999999999998</v>
      </c>
      <c r="F13" s="125">
        <f>SUM(F8:F12)</f>
        <v>74.67</v>
      </c>
      <c r="G13" s="125">
        <f>SUM(G8:G12)</f>
        <v>466</v>
      </c>
      <c r="H13" s="125"/>
      <c r="I13" s="125"/>
      <c r="J13" s="125"/>
      <c r="K13" s="125"/>
      <c r="L13" s="125"/>
      <c r="M13" s="125"/>
      <c r="N13" s="125"/>
      <c r="O13" s="125"/>
    </row>
    <row r="14" spans="1:19" s="15" customFormat="1" ht="18.75" x14ac:dyDescent="0.25">
      <c r="B14" s="58"/>
      <c r="C14" s="58"/>
      <c r="D14" s="58"/>
      <c r="E14" s="58"/>
      <c r="F14" s="58"/>
      <c r="G14" s="54" t="s">
        <v>20</v>
      </c>
      <c r="H14" s="58"/>
      <c r="I14" s="58"/>
      <c r="J14" s="58"/>
      <c r="K14" s="58"/>
      <c r="L14" s="58"/>
      <c r="M14" s="58"/>
      <c r="N14" s="58"/>
      <c r="O14" s="59"/>
    </row>
    <row r="15" spans="1:19" s="30" customFormat="1" ht="25.5" x14ac:dyDescent="0.2">
      <c r="A15" s="16">
        <v>102</v>
      </c>
      <c r="B15" s="10" t="s">
        <v>75</v>
      </c>
      <c r="C15" s="16">
        <v>250</v>
      </c>
      <c r="D15" s="17">
        <v>5.49</v>
      </c>
      <c r="E15" s="17">
        <v>5.28</v>
      </c>
      <c r="F15" s="17">
        <v>16.329999999999998</v>
      </c>
      <c r="G15" s="17">
        <v>134.75</v>
      </c>
      <c r="H15" s="17">
        <v>0.23</v>
      </c>
      <c r="I15" s="17">
        <v>5.81</v>
      </c>
      <c r="J15" s="17"/>
      <c r="K15" s="17"/>
      <c r="L15" s="17">
        <v>38.08</v>
      </c>
      <c r="M15" s="17">
        <v>87.18</v>
      </c>
      <c r="N15" s="17">
        <v>35.299999999999997</v>
      </c>
      <c r="O15" s="17">
        <v>2.0299999999999998</v>
      </c>
    </row>
    <row r="16" spans="1:19" s="15" customFormat="1" x14ac:dyDescent="0.25">
      <c r="A16" s="16"/>
      <c r="B16" s="10" t="s">
        <v>85</v>
      </c>
      <c r="C16" s="16">
        <v>55</v>
      </c>
      <c r="D16" s="17">
        <v>5.55</v>
      </c>
      <c r="E16" s="17">
        <v>12.7</v>
      </c>
      <c r="F16" s="17">
        <v>0.7</v>
      </c>
      <c r="G16" s="17">
        <v>141</v>
      </c>
      <c r="H16" s="17"/>
      <c r="I16" s="17"/>
      <c r="J16" s="17"/>
      <c r="K16" s="17"/>
      <c r="L16" s="17">
        <v>14</v>
      </c>
      <c r="M16" s="17"/>
      <c r="N16" s="17">
        <v>8</v>
      </c>
      <c r="O16" s="17">
        <v>0.9</v>
      </c>
    </row>
    <row r="17" spans="1:15" s="15" customFormat="1" x14ac:dyDescent="0.25">
      <c r="A17" s="16">
        <v>312</v>
      </c>
      <c r="B17" s="10" t="s">
        <v>13</v>
      </c>
      <c r="C17" s="16">
        <v>200</v>
      </c>
      <c r="D17" s="17">
        <v>4.09</v>
      </c>
      <c r="E17" s="17">
        <f>32.01/100/15</f>
        <v>2.1340000000000001E-2</v>
      </c>
      <c r="F17" s="17">
        <v>27.25</v>
      </c>
      <c r="G17" s="17">
        <v>183</v>
      </c>
      <c r="H17" s="17">
        <v>0.18</v>
      </c>
      <c r="I17" s="17">
        <v>24.21</v>
      </c>
      <c r="J17" s="17"/>
      <c r="K17" s="17">
        <f>1.21/100*15</f>
        <v>0.18149999999999999</v>
      </c>
      <c r="L17" s="17">
        <f>246.5/100*15</f>
        <v>36.974999999999994</v>
      </c>
      <c r="M17" s="17">
        <f>577.3/100*15</f>
        <v>86.594999999999999</v>
      </c>
      <c r="N17" s="17">
        <f>185/100*15</f>
        <v>27.75</v>
      </c>
      <c r="O17" s="17">
        <f>6.73/100*15</f>
        <v>1.0095000000000001</v>
      </c>
    </row>
    <row r="18" spans="1:15" s="15" customFormat="1" x14ac:dyDescent="0.25">
      <c r="A18" s="136">
        <v>376</v>
      </c>
      <c r="B18" s="10" t="s">
        <v>93</v>
      </c>
      <c r="C18" s="16" t="s">
        <v>74</v>
      </c>
      <c r="D18" s="17">
        <v>7.0000000000000007E-2</v>
      </c>
      <c r="E18" s="17">
        <v>0.02</v>
      </c>
      <c r="F18" s="17">
        <v>15</v>
      </c>
      <c r="G18" s="17">
        <v>60</v>
      </c>
      <c r="H18" s="17">
        <f>0.01/5</f>
        <v>2E-3</v>
      </c>
      <c r="I18" s="17">
        <v>0.03</v>
      </c>
      <c r="J18" s="17">
        <f>0</f>
        <v>0</v>
      </c>
      <c r="K18" s="17">
        <f>0</f>
        <v>0</v>
      </c>
      <c r="L18" s="17">
        <v>11.1</v>
      </c>
      <c r="M18" s="17"/>
      <c r="N18" s="17">
        <v>1.4</v>
      </c>
      <c r="O18" s="17">
        <v>0.28000000000000003</v>
      </c>
    </row>
    <row r="19" spans="1:15" s="15" customFormat="1" x14ac:dyDescent="0.25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s="15" customFormat="1" x14ac:dyDescent="0.25">
      <c r="A20" s="111" t="s">
        <v>11</v>
      </c>
      <c r="B20" s="112"/>
      <c r="C20" s="112"/>
      <c r="D20" s="125">
        <f>SUM(D15:D19)</f>
        <v>17.439999999999998</v>
      </c>
      <c r="E20" s="125">
        <f>SUM(E15:E19)</f>
        <v>18.901339999999998</v>
      </c>
      <c r="F20" s="125">
        <f>SUM(F15:F19)</f>
        <v>79.040000000000006</v>
      </c>
      <c r="G20" s="125">
        <f>SUM(G15:G19)</f>
        <v>610.71</v>
      </c>
      <c r="H20" s="125"/>
      <c r="I20" s="125"/>
      <c r="J20" s="125"/>
      <c r="K20" s="125"/>
      <c r="L20" s="125"/>
      <c r="M20" s="125"/>
      <c r="N20" s="125"/>
      <c r="O20" s="125"/>
    </row>
    <row r="21" spans="1:15" ht="15" customHeight="1" x14ac:dyDescent="0.25">
      <c r="A21" s="111" t="s">
        <v>15</v>
      </c>
      <c r="B21" s="112"/>
      <c r="C21" s="112"/>
      <c r="D21" s="129">
        <f>D13+D20</f>
        <v>26.31</v>
      </c>
      <c r="E21" s="129">
        <f>E13+E20</f>
        <v>38.14134</v>
      </c>
      <c r="F21" s="129">
        <f>F13+F20</f>
        <v>153.71</v>
      </c>
      <c r="G21" s="129">
        <f>G13+G20</f>
        <v>1076.71</v>
      </c>
      <c r="H21" s="128"/>
      <c r="I21" s="128"/>
      <c r="J21" s="128"/>
      <c r="K21" s="128"/>
      <c r="L21" s="128"/>
      <c r="M21" s="128"/>
      <c r="N21" s="128"/>
      <c r="O21" s="128"/>
    </row>
    <row r="22" spans="1:15" ht="15.75" thickBot="1" x14ac:dyDescent="0.3"/>
    <row r="23" spans="1:15" ht="39" thickBot="1" x14ac:dyDescent="0.3">
      <c r="A23" s="19"/>
      <c r="B23" s="19"/>
      <c r="C23" s="180" t="s">
        <v>41</v>
      </c>
      <c r="D23" s="181"/>
      <c r="E23" s="181"/>
      <c r="F23" s="181"/>
      <c r="G23" s="222" t="s">
        <v>42</v>
      </c>
      <c r="H23" s="223"/>
      <c r="I23" s="224"/>
      <c r="J23" s="39" t="s">
        <v>43</v>
      </c>
      <c r="K23" s="19"/>
      <c r="L23" s="19"/>
      <c r="M23" s="19"/>
      <c r="N23" s="19"/>
      <c r="O23" s="19"/>
    </row>
    <row r="24" spans="1:15" s="15" customFormat="1" ht="15.75" thickBot="1" x14ac:dyDescent="0.3">
      <c r="A24" s="43"/>
      <c r="B24" s="44"/>
      <c r="C24" s="183"/>
      <c r="D24" s="184"/>
      <c r="E24" s="184"/>
      <c r="F24" s="184"/>
      <c r="G24" s="40" t="s">
        <v>1</v>
      </c>
      <c r="H24" s="40" t="s">
        <v>2</v>
      </c>
      <c r="I24" s="40" t="s">
        <v>3</v>
      </c>
      <c r="J24" s="41"/>
      <c r="K24" s="45"/>
      <c r="L24" s="45"/>
      <c r="M24" s="45"/>
      <c r="N24" s="45"/>
      <c r="O24" s="45"/>
    </row>
    <row r="25" spans="1:15" ht="15.75" thickBot="1" x14ac:dyDescent="0.3">
      <c r="A25" s="19"/>
      <c r="B25" s="19"/>
      <c r="C25" s="189" t="s">
        <v>45</v>
      </c>
      <c r="D25" s="190"/>
      <c r="E25" s="190"/>
      <c r="F25" s="190"/>
      <c r="G25" s="40" t="s">
        <v>46</v>
      </c>
      <c r="H25" s="40" t="s">
        <v>47</v>
      </c>
      <c r="I25" s="40" t="s">
        <v>48</v>
      </c>
      <c r="J25" s="40" t="s">
        <v>49</v>
      </c>
      <c r="K25" s="19"/>
      <c r="L25" s="19"/>
      <c r="M25" s="19"/>
      <c r="N25" s="19"/>
      <c r="O25" s="19"/>
    </row>
    <row r="26" spans="1:15" ht="15.75" thickBot="1" x14ac:dyDescent="0.3">
      <c r="A26" s="19"/>
      <c r="B26" s="19"/>
      <c r="C26" s="189" t="s">
        <v>44</v>
      </c>
      <c r="D26" s="190"/>
      <c r="E26" s="190"/>
      <c r="F26" s="190"/>
      <c r="G26" s="42">
        <f>D21</f>
        <v>26.31</v>
      </c>
      <c r="H26" s="42">
        <f>E21</f>
        <v>38.14134</v>
      </c>
      <c r="I26" s="42">
        <f>F21</f>
        <v>153.71</v>
      </c>
      <c r="J26" s="42">
        <f>G21</f>
        <v>1076.71</v>
      </c>
      <c r="K26" s="19"/>
      <c r="L26" s="19"/>
      <c r="M26" s="19"/>
      <c r="N26" s="19"/>
      <c r="O26" s="19"/>
    </row>
    <row r="27" spans="1:15" x14ac:dyDescent="0.25">
      <c r="K27" s="19"/>
      <c r="L27" s="19"/>
      <c r="M27" s="19"/>
      <c r="N27" s="19"/>
      <c r="O27" s="19"/>
    </row>
    <row r="28" spans="1:15" x14ac:dyDescent="0.25">
      <c r="B28" s="19"/>
      <c r="C28" s="19"/>
      <c r="D28" s="19"/>
      <c r="E28" s="19"/>
      <c r="F28" s="19"/>
      <c r="G28" s="19"/>
      <c r="H28" s="19"/>
    </row>
    <row r="29" spans="1:15" x14ac:dyDescent="0.25">
      <c r="B29" s="19"/>
      <c r="C29" s="19"/>
      <c r="D29" s="19"/>
      <c r="E29" s="19"/>
      <c r="F29" s="19"/>
      <c r="G29" s="19"/>
      <c r="H29" s="19"/>
    </row>
    <row r="30" spans="1:15" x14ac:dyDescent="0.25">
      <c r="B30" s="19"/>
      <c r="C30" s="19"/>
      <c r="D30" s="19"/>
      <c r="E30" s="19"/>
      <c r="F30" s="19"/>
      <c r="G30" s="19"/>
      <c r="H30" s="19"/>
    </row>
    <row r="31" spans="1:15" x14ac:dyDescent="0.25">
      <c r="B31" s="19"/>
      <c r="C31" s="19"/>
      <c r="D31" s="19"/>
      <c r="E31" s="19"/>
      <c r="F31" s="19"/>
      <c r="G31" s="19"/>
      <c r="H31" s="19"/>
    </row>
    <row r="32" spans="1:15" x14ac:dyDescent="0.25">
      <c r="B32" s="19"/>
      <c r="C32" s="19"/>
      <c r="D32" s="19"/>
      <c r="E32" s="19"/>
      <c r="F32" s="19"/>
      <c r="G32" s="19"/>
      <c r="H32" s="19"/>
    </row>
    <row r="33" spans="2:8" x14ac:dyDescent="0.25">
      <c r="B33" s="19"/>
      <c r="C33" s="19"/>
      <c r="D33" s="19"/>
      <c r="E33" s="19"/>
      <c r="F33" s="19"/>
      <c r="G33" s="19"/>
      <c r="H33" s="19"/>
    </row>
    <row r="34" spans="2:8" x14ac:dyDescent="0.25">
      <c r="B34" s="19"/>
      <c r="C34" s="19"/>
      <c r="D34" s="19"/>
      <c r="E34" s="19"/>
      <c r="F34" s="19"/>
      <c r="G34" s="19"/>
      <c r="H34" s="19"/>
    </row>
    <row r="35" spans="2:8" x14ac:dyDescent="0.25">
      <c r="B35" s="19"/>
      <c r="C35" s="19"/>
      <c r="D35" s="19"/>
      <c r="E35" s="19"/>
      <c r="F35" s="19"/>
      <c r="G35" s="19"/>
      <c r="H35" s="19"/>
    </row>
    <row r="36" spans="2:8" x14ac:dyDescent="0.25">
      <c r="B36" s="19"/>
      <c r="C36" s="19"/>
      <c r="D36" s="19"/>
      <c r="E36" s="19"/>
      <c r="F36" s="19"/>
      <c r="G36" s="19"/>
      <c r="H36" s="19"/>
    </row>
    <row r="37" spans="2:8" x14ac:dyDescent="0.25">
      <c r="B37" s="19"/>
      <c r="C37" s="19"/>
      <c r="D37" s="19"/>
      <c r="E37" s="19"/>
      <c r="F37" s="19"/>
      <c r="G37" s="19"/>
      <c r="H37" s="19"/>
    </row>
    <row r="38" spans="2:8" x14ac:dyDescent="0.25">
      <c r="B38" s="19"/>
      <c r="C38" s="19"/>
      <c r="D38" s="19"/>
      <c r="E38" s="19"/>
      <c r="F38" s="19"/>
      <c r="G38" s="19"/>
      <c r="H38" s="19"/>
    </row>
    <row r="39" spans="2:8" x14ac:dyDescent="0.25">
      <c r="B39" s="19"/>
      <c r="C39" s="19"/>
      <c r="D39" s="19"/>
      <c r="E39" s="19"/>
      <c r="F39" s="19"/>
      <c r="G39" s="19"/>
      <c r="H39" s="19"/>
    </row>
    <row r="40" spans="2:8" x14ac:dyDescent="0.25">
      <c r="B40" s="19"/>
      <c r="C40" s="19"/>
      <c r="D40" s="19"/>
      <c r="E40" s="19"/>
      <c r="F40" s="19"/>
      <c r="G40" s="19"/>
      <c r="H40" s="19"/>
    </row>
    <row r="41" spans="2:8" x14ac:dyDescent="0.25">
      <c r="B41" s="19"/>
      <c r="C41" s="19"/>
      <c r="D41" s="19"/>
      <c r="E41" s="19"/>
      <c r="F41" s="19"/>
      <c r="G41" s="19"/>
      <c r="H41" s="19"/>
    </row>
    <row r="42" spans="2:8" x14ac:dyDescent="0.25">
      <c r="B42" s="19"/>
      <c r="C42" s="19"/>
      <c r="D42" s="19"/>
      <c r="E42" s="19"/>
      <c r="F42" s="19"/>
      <c r="G42" s="19"/>
      <c r="H42" s="19"/>
    </row>
    <row r="43" spans="2:8" x14ac:dyDescent="0.25">
      <c r="B43" s="19"/>
      <c r="C43" s="19"/>
      <c r="D43" s="19"/>
      <c r="E43" s="19"/>
      <c r="F43" s="19"/>
      <c r="G43" s="19"/>
      <c r="H43" s="19"/>
    </row>
    <row r="44" spans="2:8" x14ac:dyDescent="0.25">
      <c r="B44" s="19"/>
      <c r="C44" s="19"/>
      <c r="D44" s="19"/>
      <c r="E44" s="19"/>
      <c r="F44" s="19"/>
      <c r="G44" s="19"/>
      <c r="H44" s="19"/>
    </row>
    <row r="45" spans="2:8" x14ac:dyDescent="0.25">
      <c r="B45" s="19"/>
      <c r="C45" s="19"/>
      <c r="D45" s="19"/>
      <c r="E45" s="19"/>
      <c r="F45" s="19"/>
      <c r="G45" s="19"/>
      <c r="H45" s="19"/>
    </row>
    <row r="46" spans="2:8" x14ac:dyDescent="0.25">
      <c r="B46" s="19"/>
      <c r="C46" s="19"/>
      <c r="D46" s="19"/>
      <c r="E46" s="19"/>
      <c r="F46" s="19"/>
      <c r="G46" s="19"/>
      <c r="H46" s="19"/>
    </row>
  </sheetData>
  <sheetProtection formatCells="0" formatColumns="0" formatRows="0" insertColumns="0" insertRows="0" insertHyperlinks="0" deleteColumns="0" deleteRows="0" sort="0" autoFilter="0" pivotTables="0"/>
  <mergeCells count="14">
    <mergeCell ref="C23:F24"/>
    <mergeCell ref="G23:I23"/>
    <mergeCell ref="C25:F25"/>
    <mergeCell ref="C26:F26"/>
    <mergeCell ref="A7:O7"/>
    <mergeCell ref="A9:A11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28"/>
  <sheetViews>
    <sheetView view="pageBreakPreview" topLeftCell="A7" zoomScaleNormal="100" zoomScaleSheetLayoutView="100" workbookViewId="0">
      <selection activeCell="D8" sqref="D8:O8"/>
    </sheetView>
  </sheetViews>
  <sheetFormatPr defaultRowHeight="15" x14ac:dyDescent="0.25"/>
  <cols>
    <col min="1" max="1" width="13.7109375" bestFit="1" customWidth="1"/>
    <col min="2" max="2" width="27.140625" customWidth="1"/>
    <col min="4" max="4" width="10.140625" bestFit="1" customWidth="1"/>
    <col min="6" max="6" width="11.85546875" customWidth="1"/>
    <col min="7" max="7" width="13.42578125" customWidth="1"/>
    <col min="11" max="11" width="13.42578125" customWidth="1"/>
  </cols>
  <sheetData>
    <row r="1" spans="1:15" ht="15.75" x14ac:dyDescent="0.25">
      <c r="A1" s="14" t="s">
        <v>32</v>
      </c>
      <c r="B1" s="13" t="s">
        <v>37</v>
      </c>
    </row>
    <row r="2" spans="1:15" ht="15.75" x14ac:dyDescent="0.25">
      <c r="A2" s="14" t="s">
        <v>34</v>
      </c>
      <c r="B2" s="13" t="s">
        <v>35</v>
      </c>
    </row>
    <row r="3" spans="1:15" ht="15.75" x14ac:dyDescent="0.25">
      <c r="A3" s="14"/>
      <c r="B3" s="13"/>
    </row>
    <row r="4" spans="1:15" ht="15.75" x14ac:dyDescent="0.25">
      <c r="A4" s="14"/>
      <c r="B4" s="13"/>
    </row>
    <row r="5" spans="1:15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</row>
    <row r="6" spans="1:15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ht="18.75" x14ac:dyDescent="0.25">
      <c r="A7" s="234" t="s">
        <v>30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1:15" s="15" customFormat="1" ht="24" x14ac:dyDescent="0.25">
      <c r="A8" s="16">
        <v>183</v>
      </c>
      <c r="B8" s="51" t="s">
        <v>96</v>
      </c>
      <c r="C8" s="16" t="s">
        <v>97</v>
      </c>
      <c r="D8" s="17">
        <v>9.09</v>
      </c>
      <c r="E8" s="17">
        <v>12.99</v>
      </c>
      <c r="F8" s="17">
        <v>35.18</v>
      </c>
      <c r="G8" s="17">
        <v>295</v>
      </c>
      <c r="H8" s="17"/>
      <c r="I8" s="17">
        <v>1.64</v>
      </c>
      <c r="J8" s="17"/>
      <c r="K8" s="17"/>
      <c r="L8" s="17">
        <v>183.58</v>
      </c>
      <c r="M8" s="17"/>
      <c r="N8" s="17">
        <v>99.23</v>
      </c>
      <c r="O8" s="17">
        <v>2.87</v>
      </c>
    </row>
    <row r="9" spans="1:15" s="15" customFormat="1" ht="25.5" x14ac:dyDescent="0.25">
      <c r="A9" s="201">
        <v>3</v>
      </c>
      <c r="B9" s="10" t="s">
        <v>52</v>
      </c>
      <c r="C9" s="16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</row>
    <row r="10" spans="1:15" s="15" customFormat="1" x14ac:dyDescent="0.25">
      <c r="A10" s="202"/>
      <c r="B10" s="64" t="s">
        <v>53</v>
      </c>
      <c r="C10" s="65">
        <v>30</v>
      </c>
      <c r="D10" s="204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6"/>
    </row>
    <row r="11" spans="1:15" s="15" customFormat="1" x14ac:dyDescent="0.25">
      <c r="A11" s="202"/>
      <c r="B11" s="64" t="s">
        <v>54</v>
      </c>
      <c r="C11" s="65">
        <v>5</v>
      </c>
      <c r="D11" s="207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</row>
    <row r="12" spans="1:15" s="15" customFormat="1" x14ac:dyDescent="0.25">
      <c r="A12" s="203"/>
      <c r="B12" s="64" t="s">
        <v>58</v>
      </c>
      <c r="C12" s="65">
        <v>15</v>
      </c>
      <c r="D12" s="210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2"/>
    </row>
    <row r="13" spans="1:15" s="15" customFormat="1" x14ac:dyDescent="0.25">
      <c r="A13" s="162">
        <v>376</v>
      </c>
      <c r="B13" s="10" t="s">
        <v>73</v>
      </c>
      <c r="C13" s="162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/>
      <c r="I13" s="17">
        <v>0.03</v>
      </c>
      <c r="J13" s="17"/>
      <c r="K13" s="17"/>
      <c r="L13" s="17">
        <v>11.1</v>
      </c>
      <c r="M13" s="17"/>
      <c r="N13" s="17">
        <v>1.4</v>
      </c>
      <c r="O13" s="46">
        <v>0.28000000000000003</v>
      </c>
    </row>
    <row r="14" spans="1:15" s="15" customFormat="1" x14ac:dyDescent="0.25">
      <c r="A14" s="112" t="s">
        <v>11</v>
      </c>
      <c r="B14" s="112"/>
      <c r="C14" s="112"/>
      <c r="D14" s="113">
        <f>SUM(D8:D13)</f>
        <v>14.96</v>
      </c>
      <c r="E14" s="113">
        <f>SUM(E8:E13)</f>
        <v>21.31</v>
      </c>
      <c r="F14" s="113">
        <f>SUM(F8:F13)</f>
        <v>65.009999999999991</v>
      </c>
      <c r="G14" s="113">
        <f>SUM(G8:G13)</f>
        <v>512</v>
      </c>
      <c r="H14" s="113"/>
      <c r="I14" s="113"/>
      <c r="J14" s="113"/>
      <c r="K14" s="113"/>
      <c r="L14" s="113"/>
      <c r="M14" s="113"/>
      <c r="N14" s="113"/>
      <c r="O14" s="113"/>
    </row>
    <row r="15" spans="1:15" s="15" customFormat="1" ht="18.75" x14ac:dyDescent="0.25">
      <c r="A15" s="236" t="s">
        <v>20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7"/>
    </row>
    <row r="16" spans="1:15" s="15" customFormat="1" ht="38.25" x14ac:dyDescent="0.25">
      <c r="A16" s="142">
        <v>88</v>
      </c>
      <c r="B16" s="10" t="s">
        <v>91</v>
      </c>
      <c r="C16" s="142">
        <v>250</v>
      </c>
      <c r="D16" s="17">
        <f>(7.06/4)+0.8</f>
        <v>2.5649999999999999</v>
      </c>
      <c r="E16" s="17">
        <f>(19.8/4)+0.2</f>
        <v>5.15</v>
      </c>
      <c r="F16" s="17">
        <f>31.61/4</f>
        <v>7.9024999999999999</v>
      </c>
      <c r="G16" s="17">
        <f>(359/4)+5+30</f>
        <v>124.75</v>
      </c>
      <c r="H16" s="17">
        <f>0.23/4</f>
        <v>5.7500000000000002E-2</v>
      </c>
      <c r="I16" s="17">
        <f>63.1/4</f>
        <v>15.775</v>
      </c>
      <c r="J16" s="17"/>
      <c r="K16" s="17">
        <f>9.4/4</f>
        <v>2.35</v>
      </c>
      <c r="L16" s="17">
        <f>(197/4)+2</f>
        <v>51.25</v>
      </c>
      <c r="M16" s="17">
        <f>196/4</f>
        <v>49</v>
      </c>
      <c r="N16" s="17">
        <f>88.5/4</f>
        <v>22.125</v>
      </c>
      <c r="O16" s="17">
        <f>3.3/4</f>
        <v>0.82499999999999996</v>
      </c>
    </row>
    <row r="17" spans="1:15" s="15" customFormat="1" x14ac:dyDescent="0.25">
      <c r="A17" s="16">
        <v>202</v>
      </c>
      <c r="B17" s="10" t="s">
        <v>70</v>
      </c>
      <c r="C17" s="16">
        <v>200</v>
      </c>
      <c r="D17" s="17">
        <v>7.28</v>
      </c>
      <c r="E17" s="17">
        <v>772</v>
      </c>
      <c r="F17" s="17">
        <v>40.6</v>
      </c>
      <c r="G17" s="17">
        <v>260.92</v>
      </c>
      <c r="H17" s="17"/>
      <c r="I17" s="17"/>
      <c r="J17" s="17"/>
      <c r="K17" s="17"/>
      <c r="L17" s="17">
        <v>12.14</v>
      </c>
      <c r="M17" s="17"/>
      <c r="N17" s="17">
        <v>8.14</v>
      </c>
      <c r="O17" s="17">
        <v>0.81</v>
      </c>
    </row>
    <row r="18" spans="1:15" s="15" customFormat="1" ht="25.5" x14ac:dyDescent="0.25">
      <c r="A18" s="162">
        <v>246</v>
      </c>
      <c r="B18" s="10" t="s">
        <v>69</v>
      </c>
      <c r="C18" s="162">
        <v>100</v>
      </c>
      <c r="D18" s="17">
        <v>13.36</v>
      </c>
      <c r="E18" s="17">
        <v>14.08</v>
      </c>
      <c r="F18" s="17">
        <v>0.85</v>
      </c>
      <c r="G18" s="17">
        <v>164</v>
      </c>
      <c r="H18" s="17"/>
      <c r="I18" s="17"/>
      <c r="J18" s="17"/>
      <c r="K18" s="17"/>
      <c r="L18" s="17">
        <v>23.6</v>
      </c>
      <c r="M18" s="17"/>
      <c r="N18" s="17">
        <v>20.27</v>
      </c>
      <c r="O18" s="17">
        <v>2</v>
      </c>
    </row>
    <row r="19" spans="1:15" s="15" customFormat="1" x14ac:dyDescent="0.25">
      <c r="A19" s="142">
        <v>377</v>
      </c>
      <c r="B19" s="10" t="s">
        <v>71</v>
      </c>
      <c r="C19" s="105" t="s">
        <v>72</v>
      </c>
      <c r="D19" s="106">
        <v>0.53</v>
      </c>
      <c r="E19" s="105">
        <v>0</v>
      </c>
      <c r="F19" s="106">
        <v>9.8699999999999992</v>
      </c>
      <c r="G19" s="105">
        <v>41.6</v>
      </c>
      <c r="H19" s="106"/>
      <c r="I19" s="105"/>
      <c r="J19" s="106"/>
      <c r="K19" s="105"/>
      <c r="L19" s="106">
        <v>15.33</v>
      </c>
      <c r="M19" s="105">
        <f>70/5</f>
        <v>14</v>
      </c>
      <c r="N19" s="106">
        <v>12.27</v>
      </c>
      <c r="O19" s="107">
        <v>2.13</v>
      </c>
    </row>
    <row r="20" spans="1:15" s="15" customFormat="1" x14ac:dyDescent="0.25">
      <c r="A20" s="52"/>
      <c r="B20" s="10" t="s">
        <v>14</v>
      </c>
      <c r="C20" s="16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5" x14ac:dyDescent="0.25">
      <c r="A21" s="111" t="s">
        <v>11</v>
      </c>
      <c r="B21" s="112"/>
      <c r="C21" s="112"/>
      <c r="D21" s="113">
        <f>SUM(D16:D20)</f>
        <v>25.975000000000001</v>
      </c>
      <c r="E21" s="113">
        <f>SUM(E16:E20)</f>
        <v>792.11</v>
      </c>
      <c r="F21" s="113">
        <f>SUM(F16:F20)</f>
        <v>78.982500000000002</v>
      </c>
      <c r="G21" s="113">
        <f>SUM(G16:G20)</f>
        <v>683.23000000000013</v>
      </c>
      <c r="H21" s="113"/>
      <c r="I21" s="113"/>
      <c r="J21" s="113"/>
      <c r="K21" s="113"/>
      <c r="L21" s="113"/>
      <c r="M21" s="113"/>
      <c r="N21" s="113"/>
      <c r="O21" s="113"/>
    </row>
    <row r="22" spans="1:15" x14ac:dyDescent="0.25">
      <c r="A22" s="111" t="s">
        <v>15</v>
      </c>
      <c r="B22" s="112"/>
      <c r="C22" s="112"/>
      <c r="D22" s="129">
        <f>D14+D21</f>
        <v>40.935000000000002</v>
      </c>
      <c r="E22" s="129">
        <f>E14+E21</f>
        <v>813.42</v>
      </c>
      <c r="F22" s="129">
        <f>F14+F21</f>
        <v>143.99250000000001</v>
      </c>
      <c r="G22" s="129">
        <f>G14+G21</f>
        <v>1195.23</v>
      </c>
      <c r="H22" s="125"/>
      <c r="I22" s="125"/>
      <c r="J22" s="125"/>
      <c r="K22" s="125"/>
      <c r="L22" s="125"/>
      <c r="M22" s="125"/>
      <c r="N22" s="125"/>
      <c r="O22" s="125"/>
    </row>
    <row r="23" spans="1:15" ht="15.75" thickBot="1" x14ac:dyDescent="0.3"/>
    <row r="24" spans="1:15" ht="39" thickBot="1" x14ac:dyDescent="0.3">
      <c r="B24" s="180" t="s">
        <v>41</v>
      </c>
      <c r="C24" s="181"/>
      <c r="D24" s="181"/>
      <c r="E24" s="181"/>
      <c r="F24" s="222" t="s">
        <v>42</v>
      </c>
      <c r="G24" s="223"/>
      <c r="H24" s="224"/>
      <c r="I24" s="39" t="s">
        <v>43</v>
      </c>
    </row>
    <row r="25" spans="1:15" ht="15.75" thickBot="1" x14ac:dyDescent="0.3">
      <c r="B25" s="183"/>
      <c r="C25" s="184"/>
      <c r="D25" s="184"/>
      <c r="E25" s="184"/>
      <c r="F25" s="40" t="s">
        <v>1</v>
      </c>
      <c r="G25" s="40" t="s">
        <v>2</v>
      </c>
      <c r="H25" s="40" t="s">
        <v>3</v>
      </c>
      <c r="I25" s="41"/>
    </row>
    <row r="26" spans="1:15" ht="15.75" thickBot="1" x14ac:dyDescent="0.3">
      <c r="B26" s="189" t="s">
        <v>45</v>
      </c>
      <c r="C26" s="190"/>
      <c r="D26" s="190"/>
      <c r="E26" s="190"/>
      <c r="F26" s="40" t="s">
        <v>46</v>
      </c>
      <c r="G26" s="40" t="s">
        <v>47</v>
      </c>
      <c r="H26" s="40" t="s">
        <v>48</v>
      </c>
      <c r="I26" s="40" t="s">
        <v>49</v>
      </c>
    </row>
    <row r="27" spans="1:15" ht="15.75" thickBot="1" x14ac:dyDescent="0.3">
      <c r="B27" s="189" t="s">
        <v>44</v>
      </c>
      <c r="C27" s="190"/>
      <c r="D27" s="190"/>
      <c r="E27" s="190"/>
      <c r="F27" s="42">
        <f>D22</f>
        <v>40.935000000000002</v>
      </c>
      <c r="G27" s="42">
        <f>E22</f>
        <v>813.42</v>
      </c>
      <c r="H27" s="42">
        <f>F22</f>
        <v>143.99250000000001</v>
      </c>
      <c r="I27" s="42">
        <f>G22</f>
        <v>1195.23</v>
      </c>
    </row>
    <row r="28" spans="1:15" ht="30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15">
    <mergeCell ref="B24:E25"/>
    <mergeCell ref="F24:H24"/>
    <mergeCell ref="B26:E26"/>
    <mergeCell ref="B27:E27"/>
    <mergeCell ref="A7:O7"/>
    <mergeCell ref="A9:A12"/>
    <mergeCell ref="D10:O12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A37"/>
  <sheetViews>
    <sheetView view="pageBreakPreview" zoomScale="88" zoomScaleNormal="80" zoomScaleSheetLayoutView="80" workbookViewId="0">
      <selection activeCell="B23" sqref="B23:E24"/>
    </sheetView>
  </sheetViews>
  <sheetFormatPr defaultColWidth="9.140625" defaultRowHeight="15" x14ac:dyDescent="0.25"/>
  <cols>
    <col min="1" max="1" width="13" style="68" customWidth="1"/>
    <col min="2" max="2" width="24.28515625" style="68" customWidth="1"/>
    <col min="3" max="3" width="15.7109375" style="89" bestFit="1" customWidth="1"/>
    <col min="4" max="5" width="9.140625" style="68"/>
    <col min="6" max="6" width="9.5703125" style="68" bestFit="1" customWidth="1"/>
    <col min="7" max="7" width="13" style="68" customWidth="1"/>
    <col min="8" max="8" width="9.140625" style="68"/>
    <col min="9" max="9" width="9.5703125" style="68" bestFit="1" customWidth="1"/>
    <col min="10" max="11" width="9.140625" style="68"/>
    <col min="12" max="14" width="9.5703125" style="68" bestFit="1" customWidth="1"/>
    <col min="15" max="16384" width="9.140625" style="68"/>
  </cols>
  <sheetData>
    <row r="1" spans="1:27" ht="15.75" x14ac:dyDescent="0.25">
      <c r="A1" s="66" t="s">
        <v>32</v>
      </c>
      <c r="B1" s="166" t="s">
        <v>38</v>
      </c>
    </row>
    <row r="2" spans="1:27" ht="15.75" x14ac:dyDescent="0.25">
      <c r="A2" s="66" t="s">
        <v>34</v>
      </c>
      <c r="B2" s="67" t="s">
        <v>35</v>
      </c>
    </row>
    <row r="3" spans="1:27" ht="15.75" x14ac:dyDescent="0.25">
      <c r="A3" s="66"/>
      <c r="B3" s="67"/>
    </row>
    <row r="4" spans="1:27" ht="15.75" x14ac:dyDescent="0.25">
      <c r="A4" s="66"/>
      <c r="B4" s="67"/>
    </row>
    <row r="5" spans="1:27" ht="15.75" x14ac:dyDescent="0.25">
      <c r="A5" s="241" t="s">
        <v>25</v>
      </c>
      <c r="B5" s="241" t="s">
        <v>19</v>
      </c>
      <c r="C5" s="244" t="s">
        <v>21</v>
      </c>
      <c r="D5" s="238" t="s">
        <v>28</v>
      </c>
      <c r="E5" s="239"/>
      <c r="F5" s="240"/>
      <c r="G5" s="241" t="s">
        <v>0</v>
      </c>
      <c r="H5" s="238" t="s">
        <v>27</v>
      </c>
      <c r="I5" s="239"/>
      <c r="J5" s="239"/>
      <c r="K5" s="240"/>
      <c r="L5" s="238" t="s">
        <v>26</v>
      </c>
      <c r="M5" s="239"/>
      <c r="N5" s="239"/>
      <c r="O5" s="240"/>
    </row>
    <row r="6" spans="1:27" ht="15.75" x14ac:dyDescent="0.25">
      <c r="A6" s="242"/>
      <c r="B6" s="243"/>
      <c r="C6" s="245"/>
      <c r="D6" s="69" t="s">
        <v>1</v>
      </c>
      <c r="E6" s="69" t="s">
        <v>2</v>
      </c>
      <c r="F6" s="69" t="s">
        <v>3</v>
      </c>
      <c r="G6" s="242"/>
      <c r="H6" s="69" t="s">
        <v>59</v>
      </c>
      <c r="I6" s="69" t="s">
        <v>4</v>
      </c>
      <c r="J6" s="69" t="s">
        <v>5</v>
      </c>
      <c r="K6" s="69" t="s">
        <v>6</v>
      </c>
      <c r="L6" s="69" t="s">
        <v>7</v>
      </c>
      <c r="M6" s="69" t="s">
        <v>8</v>
      </c>
      <c r="N6" s="69" t="s">
        <v>9</v>
      </c>
      <c r="O6" s="69" t="s">
        <v>10</v>
      </c>
    </row>
    <row r="7" spans="1:27" ht="18.75" x14ac:dyDescent="0.25">
      <c r="A7" s="255" t="s">
        <v>30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</row>
    <row r="8" spans="1:27" ht="25.5" x14ac:dyDescent="0.25">
      <c r="A8" s="158">
        <v>469</v>
      </c>
      <c r="B8" s="159" t="s">
        <v>98</v>
      </c>
      <c r="C8" s="156" t="s">
        <v>99</v>
      </c>
      <c r="D8" s="17">
        <v>9.09</v>
      </c>
      <c r="E8" s="17">
        <v>12.99</v>
      </c>
      <c r="F8" s="17">
        <v>35.18</v>
      </c>
      <c r="G8" s="17">
        <v>295</v>
      </c>
      <c r="H8" s="17"/>
      <c r="I8" s="17">
        <v>1.64</v>
      </c>
      <c r="J8" s="17"/>
      <c r="K8" s="17"/>
      <c r="L8" s="17">
        <v>183.58</v>
      </c>
      <c r="M8" s="17"/>
      <c r="N8" s="17">
        <v>99.23</v>
      </c>
      <c r="O8" s="17">
        <v>2.87</v>
      </c>
    </row>
    <row r="9" spans="1:27" s="76" customFormat="1" x14ac:dyDescent="0.25">
      <c r="A9" s="201">
        <v>2</v>
      </c>
      <c r="B9" s="10" t="s">
        <v>62</v>
      </c>
      <c r="C9" s="98">
        <v>60</v>
      </c>
      <c r="D9" s="94">
        <v>3.7</v>
      </c>
      <c r="E9" s="94">
        <v>8.5</v>
      </c>
      <c r="F9" s="94">
        <v>26.25</v>
      </c>
      <c r="G9" s="94">
        <v>155</v>
      </c>
      <c r="H9" s="94">
        <v>3.4000000000000002E-2</v>
      </c>
      <c r="I9" s="94"/>
      <c r="J9" s="94">
        <v>0.13</v>
      </c>
      <c r="K9" s="94">
        <v>0.44</v>
      </c>
      <c r="L9" s="94">
        <v>8.4</v>
      </c>
      <c r="M9" s="94">
        <v>22.5</v>
      </c>
      <c r="N9" s="94">
        <v>4.2</v>
      </c>
      <c r="O9" s="94">
        <v>0.35</v>
      </c>
      <c r="P9" s="95"/>
      <c r="Q9" s="95"/>
      <c r="R9" s="95"/>
      <c r="S9" s="95"/>
    </row>
    <row r="10" spans="1:27" s="73" customFormat="1" x14ac:dyDescent="0.2">
      <c r="A10" s="202"/>
      <c r="B10" s="52" t="s">
        <v>63</v>
      </c>
      <c r="C10" s="99">
        <v>50</v>
      </c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86"/>
      <c r="Q10" s="86"/>
      <c r="R10" s="96"/>
      <c r="S10" s="96"/>
    </row>
    <row r="11" spans="1:27" s="75" customFormat="1" x14ac:dyDescent="0.2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86"/>
      <c r="Q11" s="86"/>
      <c r="R11" s="97"/>
      <c r="S11" s="97"/>
    </row>
    <row r="12" spans="1:27" s="75" customFormat="1" x14ac:dyDescent="0.2">
      <c r="A12" s="141">
        <v>376</v>
      </c>
      <c r="B12" s="10" t="s">
        <v>73</v>
      </c>
      <c r="C12" s="157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86"/>
      <c r="Q12" s="86"/>
      <c r="R12" s="97"/>
      <c r="S12" s="97"/>
    </row>
    <row r="13" spans="1:27" x14ac:dyDescent="0.25">
      <c r="A13" s="116" t="s">
        <v>11</v>
      </c>
      <c r="B13" s="117"/>
      <c r="C13" s="118"/>
      <c r="D13" s="119">
        <f>SUM(D8:D12)</f>
        <v>12.86</v>
      </c>
      <c r="E13" s="119">
        <f>SUM(E8:E12)</f>
        <v>21.51</v>
      </c>
      <c r="F13" s="119">
        <f>SUM(F8:F12)</f>
        <v>76.430000000000007</v>
      </c>
      <c r="G13" s="119">
        <f>SUM(G8:G12)</f>
        <v>510</v>
      </c>
      <c r="H13" s="119"/>
      <c r="I13" s="119"/>
      <c r="J13" s="119"/>
      <c r="K13" s="119"/>
      <c r="L13" s="119"/>
      <c r="M13" s="119"/>
      <c r="N13" s="119"/>
      <c r="O13" s="119"/>
      <c r="P13" s="87"/>
      <c r="Q13" s="87"/>
      <c r="R13" s="87"/>
      <c r="S13" s="87"/>
    </row>
    <row r="14" spans="1:27" ht="18.75" x14ac:dyDescent="0.25">
      <c r="A14" s="226" t="s">
        <v>20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87"/>
      <c r="Q14" s="87"/>
      <c r="R14" s="87"/>
      <c r="S14" s="87"/>
    </row>
    <row r="15" spans="1:27" s="31" customFormat="1" ht="25.5" customHeight="1" x14ac:dyDescent="0.2">
      <c r="A15" s="162">
        <v>112</v>
      </c>
      <c r="B15" s="10" t="s">
        <v>86</v>
      </c>
      <c r="C15" s="162">
        <v>250</v>
      </c>
      <c r="D15" s="17">
        <f>10.27/4+0.8</f>
        <v>3.3674999999999997</v>
      </c>
      <c r="E15" s="17">
        <f>11.12/4+0.2</f>
        <v>2.98</v>
      </c>
      <c r="F15" s="17">
        <f>62.75/4</f>
        <v>15.6875</v>
      </c>
      <c r="G15" s="17">
        <f>436/4+5+30</f>
        <v>144</v>
      </c>
      <c r="H15" s="17">
        <f>0.37/4</f>
        <v>9.2499999999999999E-2</v>
      </c>
      <c r="I15" s="17">
        <f>24.3/4</f>
        <v>6.0750000000000002</v>
      </c>
      <c r="J15" s="17"/>
      <c r="K15" s="17">
        <f>5.8/4</f>
        <v>1.45</v>
      </c>
      <c r="L15" s="17">
        <f>118/4+2</f>
        <v>31.5</v>
      </c>
      <c r="M15" s="17">
        <f>230.9/4</f>
        <v>57.725000000000001</v>
      </c>
      <c r="N15" s="17">
        <f>95.2/4</f>
        <v>23.8</v>
      </c>
      <c r="O15" s="17">
        <f>4/4</f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76" customFormat="1" ht="25.5" x14ac:dyDescent="0.25">
      <c r="A16" s="70">
        <v>229</v>
      </c>
      <c r="B16" s="71" t="s">
        <v>50</v>
      </c>
      <c r="C16" s="90">
        <v>100</v>
      </c>
      <c r="D16" s="72">
        <v>9.75</v>
      </c>
      <c r="E16" s="72">
        <v>4.95</v>
      </c>
      <c r="F16" s="72">
        <v>3.8</v>
      </c>
      <c r="G16" s="72">
        <v>105</v>
      </c>
      <c r="H16" s="72">
        <v>0.05</v>
      </c>
      <c r="I16" s="72">
        <v>3.73</v>
      </c>
      <c r="J16" s="72">
        <v>5.82</v>
      </c>
      <c r="K16" s="72">
        <v>2.52</v>
      </c>
      <c r="L16" s="72">
        <v>39.07</v>
      </c>
      <c r="M16" s="72">
        <v>162.19</v>
      </c>
      <c r="N16" s="72">
        <v>48.53</v>
      </c>
      <c r="O16" s="72">
        <v>0.85</v>
      </c>
    </row>
    <row r="17" spans="1:15" x14ac:dyDescent="0.25">
      <c r="A17" s="162">
        <v>304</v>
      </c>
      <c r="B17" s="10" t="s">
        <v>16</v>
      </c>
      <c r="C17" s="162">
        <v>200</v>
      </c>
      <c r="D17" s="17">
        <v>4.84</v>
      </c>
      <c r="E17" s="17">
        <v>7.16</v>
      </c>
      <c r="F17" s="17">
        <f>244.56/20*4</f>
        <v>48.911999999999999</v>
      </c>
      <c r="G17" s="17">
        <f>1398/20*4</f>
        <v>279.60000000000002</v>
      </c>
      <c r="H17" s="17">
        <f>0.17/20*4</f>
        <v>3.4000000000000002E-2</v>
      </c>
      <c r="I17" s="17"/>
      <c r="J17" s="17"/>
      <c r="K17" s="17">
        <f>1.88/20*4</f>
        <v>0.376</v>
      </c>
      <c r="L17" s="17">
        <f>9.1/20*4</f>
        <v>1.8199999999999998</v>
      </c>
      <c r="M17" s="17">
        <f>406.3/20*4</f>
        <v>81.260000000000005</v>
      </c>
      <c r="N17" s="17">
        <f>108.9/20*4</f>
        <v>21.78</v>
      </c>
      <c r="O17" s="17">
        <f>3.51/20*4</f>
        <v>0.70199999999999996</v>
      </c>
    </row>
    <row r="18" spans="1:15" x14ac:dyDescent="0.25">
      <c r="A18" s="141">
        <v>349</v>
      </c>
      <c r="B18" s="10" t="s">
        <v>87</v>
      </c>
      <c r="C18" s="157">
        <v>200</v>
      </c>
      <c r="D18" s="17">
        <v>0.66</v>
      </c>
      <c r="E18" s="17">
        <v>0.09</v>
      </c>
      <c r="F18" s="17">
        <v>32.01</v>
      </c>
      <c r="G18" s="17">
        <v>132.08000000000001</v>
      </c>
      <c r="H18" s="17">
        <f>0.01/5</f>
        <v>2E-3</v>
      </c>
      <c r="I18" s="17">
        <v>0.73</v>
      </c>
      <c r="J18" s="17">
        <f>0</f>
        <v>0</v>
      </c>
      <c r="K18" s="17">
        <f>0</f>
        <v>0</v>
      </c>
      <c r="L18" s="17">
        <v>32.479999999999997</v>
      </c>
      <c r="M18" s="17"/>
      <c r="N18" s="17">
        <v>17.46</v>
      </c>
      <c r="O18" s="17">
        <v>0.7</v>
      </c>
    </row>
    <row r="19" spans="1:15" s="30" customFormat="1" ht="12.75" x14ac:dyDescent="0.2">
      <c r="A19" s="52"/>
      <c r="B19" s="10" t="s">
        <v>14</v>
      </c>
      <c r="C19" s="110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s="76" customFormat="1" x14ac:dyDescent="0.25">
      <c r="A20" s="120" t="s">
        <v>11</v>
      </c>
      <c r="B20" s="121"/>
      <c r="C20" s="122"/>
      <c r="D20" s="123">
        <f>SUM(D15:D19)</f>
        <v>20.857500000000002</v>
      </c>
      <c r="E20" s="123">
        <f>SUM(E15:E19)</f>
        <v>16.059999999999999</v>
      </c>
      <c r="F20" s="123">
        <f>SUM(F15:F19)</f>
        <v>120.16950000000001</v>
      </c>
      <c r="G20" s="123">
        <f>SUM(G15:G19)</f>
        <v>752.6400000000001</v>
      </c>
      <c r="H20" s="124"/>
      <c r="I20" s="124"/>
      <c r="J20" s="124"/>
      <c r="K20" s="124"/>
      <c r="L20" s="124"/>
      <c r="M20" s="124"/>
      <c r="N20" s="124"/>
      <c r="O20" s="124"/>
    </row>
    <row r="21" spans="1:15" ht="15" customHeight="1" x14ac:dyDescent="0.25">
      <c r="A21" s="79" t="s">
        <v>15</v>
      </c>
      <c r="B21" s="78"/>
      <c r="C21" s="92"/>
      <c r="D21" s="80">
        <f>D13+D20</f>
        <v>33.717500000000001</v>
      </c>
      <c r="E21" s="80">
        <f>E13+E20</f>
        <v>37.57</v>
      </c>
      <c r="F21" s="80">
        <f>F13+F20</f>
        <v>196.59950000000003</v>
      </c>
      <c r="G21" s="80">
        <f>G13+G20</f>
        <v>1262.6400000000001</v>
      </c>
      <c r="H21" s="81"/>
      <c r="I21" s="81"/>
      <c r="J21" s="81"/>
      <c r="K21" s="81"/>
      <c r="L21" s="81"/>
      <c r="M21" s="81"/>
      <c r="N21" s="81"/>
      <c r="O21" s="81"/>
    </row>
    <row r="22" spans="1:15" ht="15.75" thickBot="1" x14ac:dyDescent="0.3"/>
    <row r="23" spans="1:15" ht="39" thickBot="1" x14ac:dyDescent="0.3">
      <c r="B23" s="246" t="s">
        <v>41</v>
      </c>
      <c r="C23" s="247"/>
      <c r="D23" s="247"/>
      <c r="E23" s="247"/>
      <c r="F23" s="250" t="s">
        <v>42</v>
      </c>
      <c r="G23" s="251"/>
      <c r="H23" s="252"/>
      <c r="I23" s="82" t="s">
        <v>43</v>
      </c>
    </row>
    <row r="24" spans="1:15" ht="15.75" thickBot="1" x14ac:dyDescent="0.3">
      <c r="B24" s="248"/>
      <c r="C24" s="249"/>
      <c r="D24" s="249"/>
      <c r="E24" s="249"/>
      <c r="F24" s="83" t="s">
        <v>1</v>
      </c>
      <c r="G24" s="83" t="s">
        <v>2</v>
      </c>
      <c r="H24" s="83" t="s">
        <v>3</v>
      </c>
      <c r="I24" s="84"/>
    </row>
    <row r="25" spans="1:15" ht="15.75" thickBot="1" x14ac:dyDescent="0.3">
      <c r="B25" s="253" t="s">
        <v>45</v>
      </c>
      <c r="C25" s="254"/>
      <c r="D25" s="254"/>
      <c r="E25" s="254"/>
      <c r="F25" s="83" t="s">
        <v>46</v>
      </c>
      <c r="G25" s="83" t="s">
        <v>47</v>
      </c>
      <c r="H25" s="83" t="s">
        <v>48</v>
      </c>
      <c r="I25" s="83" t="s">
        <v>49</v>
      </c>
    </row>
    <row r="26" spans="1:15" ht="15.75" thickBot="1" x14ac:dyDescent="0.3">
      <c r="B26" s="253" t="s">
        <v>44</v>
      </c>
      <c r="C26" s="254"/>
      <c r="D26" s="254"/>
      <c r="E26" s="254"/>
      <c r="F26" s="85">
        <f>D21</f>
        <v>33.717500000000001</v>
      </c>
      <c r="G26" s="85">
        <f>E21</f>
        <v>37.57</v>
      </c>
      <c r="H26" s="85">
        <f>F21</f>
        <v>196.59950000000003</v>
      </c>
      <c r="I26" s="85">
        <f>G21</f>
        <v>1262.6400000000001</v>
      </c>
    </row>
    <row r="35" spans="1:8" x14ac:dyDescent="0.25">
      <c r="A35" s="87"/>
      <c r="B35" s="87"/>
      <c r="C35" s="93"/>
      <c r="D35" s="87"/>
      <c r="E35" s="87"/>
      <c r="F35" s="87"/>
      <c r="G35" s="87"/>
      <c r="H35" s="87"/>
    </row>
    <row r="36" spans="1:8" x14ac:dyDescent="0.25">
      <c r="A36" s="87"/>
      <c r="B36" s="87"/>
      <c r="C36" s="93"/>
      <c r="D36" s="87"/>
      <c r="E36" s="87"/>
      <c r="F36" s="87"/>
      <c r="G36" s="87"/>
      <c r="H36" s="87"/>
    </row>
    <row r="37" spans="1:8" x14ac:dyDescent="0.25">
      <c r="A37" s="87"/>
      <c r="B37" s="87"/>
      <c r="C37" s="93"/>
      <c r="D37" s="87"/>
      <c r="E37" s="87"/>
      <c r="F37" s="87"/>
      <c r="G37" s="87"/>
      <c r="H37" s="87"/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9:A11"/>
    <mergeCell ref="D10:O11"/>
    <mergeCell ref="A14:O14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28"/>
  <sheetViews>
    <sheetView view="pageBreakPreview" zoomScale="90" zoomScaleNormal="90" zoomScaleSheetLayoutView="90" workbookViewId="0">
      <selection activeCell="F18" sqref="F18"/>
    </sheetView>
  </sheetViews>
  <sheetFormatPr defaultColWidth="9.140625" defaultRowHeight="15" x14ac:dyDescent="0.25"/>
  <cols>
    <col min="1" max="1" width="14" style="15" bestFit="1" customWidth="1"/>
    <col min="2" max="2" width="32.7109375" style="15" customWidth="1"/>
    <col min="3" max="6" width="9.140625" style="15"/>
    <col min="7" max="7" width="11.85546875" style="15" customWidth="1"/>
    <col min="8" max="8" width="10" style="15" bestFit="1" customWidth="1"/>
    <col min="9" max="9" width="10.5703125" style="15" bestFit="1" customWidth="1"/>
    <col min="10" max="16384" width="9.140625" style="15"/>
  </cols>
  <sheetData>
    <row r="1" spans="1:19" ht="15.75" x14ac:dyDescent="0.25">
      <c r="A1" s="145" t="s">
        <v>32</v>
      </c>
      <c r="B1" s="146" t="s">
        <v>39</v>
      </c>
    </row>
    <row r="2" spans="1:19" ht="15.75" x14ac:dyDescent="0.25">
      <c r="A2" s="145" t="s">
        <v>34</v>
      </c>
      <c r="B2" s="146" t="s">
        <v>35</v>
      </c>
    </row>
    <row r="3" spans="1:19" ht="15.75" x14ac:dyDescent="0.25">
      <c r="A3" s="145"/>
      <c r="B3" s="146"/>
    </row>
    <row r="4" spans="1:19" ht="15.75" x14ac:dyDescent="0.25">
      <c r="A4" s="145"/>
      <c r="B4" s="146"/>
    </row>
    <row r="5" spans="1:19" ht="15.75" x14ac:dyDescent="0.25">
      <c r="A5" s="261" t="s">
        <v>25</v>
      </c>
      <c r="B5" s="261" t="s">
        <v>19</v>
      </c>
      <c r="C5" s="261" t="s">
        <v>21</v>
      </c>
      <c r="D5" s="258" t="s">
        <v>28</v>
      </c>
      <c r="E5" s="259"/>
      <c r="F5" s="260"/>
      <c r="G5" s="261" t="s">
        <v>0</v>
      </c>
      <c r="H5" s="258" t="s">
        <v>27</v>
      </c>
      <c r="I5" s="259"/>
      <c r="J5" s="259"/>
      <c r="K5" s="260"/>
      <c r="L5" s="258" t="s">
        <v>26</v>
      </c>
      <c r="M5" s="259"/>
      <c r="N5" s="259"/>
      <c r="O5" s="260"/>
    </row>
    <row r="6" spans="1:19" ht="15.75" x14ac:dyDescent="0.25">
      <c r="A6" s="262"/>
      <c r="B6" s="263"/>
      <c r="C6" s="264"/>
      <c r="D6" s="147" t="s">
        <v>1</v>
      </c>
      <c r="E6" s="147" t="s">
        <v>2</v>
      </c>
      <c r="F6" s="147" t="s">
        <v>3</v>
      </c>
      <c r="G6" s="262"/>
      <c r="H6" s="147" t="s">
        <v>18</v>
      </c>
      <c r="I6" s="147" t="s">
        <v>4</v>
      </c>
      <c r="J6" s="147" t="s">
        <v>5</v>
      </c>
      <c r="K6" s="147" t="s">
        <v>6</v>
      </c>
      <c r="L6" s="147" t="s">
        <v>7</v>
      </c>
      <c r="M6" s="147" t="s">
        <v>8</v>
      </c>
      <c r="N6" s="147" t="s">
        <v>9</v>
      </c>
      <c r="O6" s="147" t="s">
        <v>10</v>
      </c>
    </row>
    <row r="7" spans="1:19" ht="18.75" x14ac:dyDescent="0.25">
      <c r="A7" s="268" t="s">
        <v>30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19" s="12" customFormat="1" ht="12.75" x14ac:dyDescent="0.2">
      <c r="A8" s="158"/>
      <c r="B8" s="159" t="s">
        <v>61</v>
      </c>
      <c r="C8" s="156">
        <v>100</v>
      </c>
      <c r="D8" s="156">
        <v>2</v>
      </c>
      <c r="E8" s="156">
        <v>7.5</v>
      </c>
      <c r="F8" s="156">
        <v>13.8</v>
      </c>
      <c r="G8" s="156">
        <v>130</v>
      </c>
      <c r="H8" s="156"/>
      <c r="I8" s="156"/>
      <c r="J8" s="156"/>
      <c r="K8" s="156"/>
      <c r="L8" s="156"/>
      <c r="M8" s="156"/>
      <c r="N8" s="156"/>
      <c r="O8" s="156"/>
    </row>
    <row r="9" spans="1:19" s="76" customFormat="1" x14ac:dyDescent="0.25">
      <c r="A9" s="201">
        <v>2</v>
      </c>
      <c r="B9" s="10" t="s">
        <v>62</v>
      </c>
      <c r="C9" s="160">
        <v>60</v>
      </c>
      <c r="D9" s="161">
        <v>3.7</v>
      </c>
      <c r="E9" s="161">
        <v>8.5</v>
      </c>
      <c r="F9" s="161">
        <v>26.25</v>
      </c>
      <c r="G9" s="161">
        <v>155</v>
      </c>
      <c r="H9" s="161">
        <v>3.4000000000000002E-2</v>
      </c>
      <c r="I9" s="161"/>
      <c r="J9" s="161">
        <v>0.13</v>
      </c>
      <c r="K9" s="161">
        <v>0.44</v>
      </c>
      <c r="L9" s="161">
        <v>8.4</v>
      </c>
      <c r="M9" s="161">
        <v>22.5</v>
      </c>
      <c r="N9" s="161">
        <v>4.2</v>
      </c>
      <c r="O9" s="161">
        <v>0.35</v>
      </c>
      <c r="P9" s="95"/>
      <c r="Q9" s="95"/>
      <c r="R9" s="95"/>
      <c r="S9" s="95"/>
    </row>
    <row r="10" spans="1:19" s="73" customFormat="1" x14ac:dyDescent="0.2">
      <c r="A10" s="202"/>
      <c r="B10" s="52"/>
      <c r="C10" s="99"/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148"/>
      <c r="Q10" s="148"/>
      <c r="R10" s="96"/>
      <c r="S10" s="96"/>
    </row>
    <row r="11" spans="1:19" s="150" customFormat="1" x14ac:dyDescent="0.2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148"/>
      <c r="Q11" s="148"/>
      <c r="R11" s="149"/>
      <c r="S11" s="149"/>
    </row>
    <row r="12" spans="1:19" s="150" customFormat="1" x14ac:dyDescent="0.2">
      <c r="A12" s="141">
        <v>376</v>
      </c>
      <c r="B12" s="10" t="s">
        <v>73</v>
      </c>
      <c r="C12" s="162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148"/>
      <c r="Q12" s="148"/>
      <c r="R12" s="149"/>
      <c r="S12" s="149"/>
    </row>
    <row r="13" spans="1:19" s="75" customFormat="1" x14ac:dyDescent="0.2">
      <c r="A13" s="111" t="s">
        <v>11</v>
      </c>
      <c r="B13" s="111"/>
      <c r="C13" s="111"/>
      <c r="D13" s="125">
        <f>SUM(D8:D12)</f>
        <v>5.7700000000000005</v>
      </c>
      <c r="E13" s="125">
        <f>SUM(E8:E12)</f>
        <v>16.02</v>
      </c>
      <c r="F13" s="125">
        <f>SUM(F8:F12)</f>
        <v>55.05</v>
      </c>
      <c r="G13" s="125">
        <f>SUM(G8:G12)</f>
        <v>345</v>
      </c>
      <c r="H13" s="126"/>
      <c r="I13" s="127"/>
      <c r="J13" s="127"/>
      <c r="K13" s="127"/>
      <c r="L13" s="127"/>
      <c r="M13" s="127"/>
      <c r="N13" s="127"/>
      <c r="O13" s="127"/>
      <c r="P13" s="86"/>
      <c r="Q13" s="86"/>
      <c r="R13" s="97"/>
      <c r="S13" s="97"/>
    </row>
    <row r="14" spans="1:19" s="155" customFormat="1" ht="18.75" x14ac:dyDescent="0.25">
      <c r="A14" s="279" t="s">
        <v>20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7"/>
    </row>
    <row r="15" spans="1:19" ht="27" x14ac:dyDescent="0.25">
      <c r="A15" s="77">
        <v>82</v>
      </c>
      <c r="B15" s="173" t="s">
        <v>92</v>
      </c>
      <c r="C15" s="91">
        <v>250</v>
      </c>
      <c r="D15" s="74">
        <f>(7.21/4)+0.8</f>
        <v>2.6025</v>
      </c>
      <c r="E15" s="74">
        <f>(19.68/4)+0.2</f>
        <v>5.12</v>
      </c>
      <c r="F15" s="74">
        <f>43.73/4</f>
        <v>10.932499999999999</v>
      </c>
      <c r="G15" s="74">
        <f>(415/4)+5+30</f>
        <v>138.75</v>
      </c>
      <c r="H15" s="74">
        <f>0.2/4</f>
        <v>0.05</v>
      </c>
      <c r="I15" s="74">
        <f>42.7/4</f>
        <v>10.675000000000001</v>
      </c>
      <c r="J15" s="74"/>
      <c r="K15" s="74">
        <f>9.6/4</f>
        <v>2.4</v>
      </c>
      <c r="L15" s="74">
        <f>(198.9/4)+2</f>
        <v>51.725000000000001</v>
      </c>
      <c r="M15" s="74">
        <f>218.4/4</f>
        <v>54.6</v>
      </c>
      <c r="N15" s="74">
        <f>104.5/4</f>
        <v>26.125</v>
      </c>
      <c r="O15" s="74">
        <f>4.9/4</f>
        <v>1.2250000000000001</v>
      </c>
    </row>
    <row r="16" spans="1:19" s="68" customFormat="1" ht="25.5" x14ac:dyDescent="0.25">
      <c r="A16" s="142">
        <v>246</v>
      </c>
      <c r="B16" s="10" t="s">
        <v>69</v>
      </c>
      <c r="C16" s="142">
        <v>100</v>
      </c>
      <c r="D16" s="17">
        <v>13.36</v>
      </c>
      <c r="E16" s="17">
        <v>14.08</v>
      </c>
      <c r="F16" s="17">
        <v>0.85</v>
      </c>
      <c r="G16" s="17">
        <v>164</v>
      </c>
      <c r="H16" s="17">
        <v>0.01</v>
      </c>
      <c r="I16" s="17">
        <v>1.2</v>
      </c>
      <c r="J16" s="17"/>
      <c r="K16" s="17"/>
      <c r="L16" s="17">
        <v>23.6</v>
      </c>
      <c r="M16" s="17">
        <v>117.03</v>
      </c>
      <c r="N16" s="17">
        <v>20.27</v>
      </c>
      <c r="O16" s="17">
        <v>2</v>
      </c>
    </row>
    <row r="17" spans="1:16" x14ac:dyDescent="0.25">
      <c r="A17" s="142">
        <v>302</v>
      </c>
      <c r="B17" s="10" t="s">
        <v>68</v>
      </c>
      <c r="C17" s="142">
        <v>200</v>
      </c>
      <c r="D17" s="17">
        <v>11.08</v>
      </c>
      <c r="E17" s="17">
        <v>8.1199999999999992</v>
      </c>
      <c r="F17" s="17">
        <v>51.52</v>
      </c>
      <c r="G17" s="17">
        <v>325</v>
      </c>
      <c r="H17" s="17"/>
      <c r="I17" s="17"/>
      <c r="J17" s="17">
        <v>0</v>
      </c>
      <c r="K17" s="17"/>
      <c r="L17" s="17">
        <v>19.760000000000002</v>
      </c>
      <c r="M17" s="17"/>
      <c r="N17" s="17">
        <v>181.1</v>
      </c>
      <c r="O17" s="17">
        <v>6.08</v>
      </c>
    </row>
    <row r="18" spans="1:16" x14ac:dyDescent="0.25">
      <c r="A18" s="143">
        <v>342</v>
      </c>
      <c r="B18" s="10" t="s">
        <v>66</v>
      </c>
      <c r="C18" s="105">
        <v>200</v>
      </c>
      <c r="D18" s="106">
        <v>0.16</v>
      </c>
      <c r="E18" s="105">
        <v>0.16</v>
      </c>
      <c r="F18" s="106">
        <v>27.88</v>
      </c>
      <c r="G18" s="105">
        <v>114.6</v>
      </c>
      <c r="H18" s="106"/>
      <c r="I18" s="105"/>
      <c r="J18" s="106"/>
      <c r="K18" s="105"/>
      <c r="L18" s="106">
        <v>14.18</v>
      </c>
      <c r="M18" s="105"/>
      <c r="N18" s="106">
        <v>5.14</v>
      </c>
      <c r="O18" s="107">
        <v>0.95</v>
      </c>
    </row>
    <row r="19" spans="1:16" x14ac:dyDescent="0.25">
      <c r="A19" s="52"/>
      <c r="B19" s="10" t="s">
        <v>14</v>
      </c>
      <c r="C19" s="142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6" x14ac:dyDescent="0.25">
      <c r="A20" s="111" t="s">
        <v>11</v>
      </c>
      <c r="B20" s="112"/>
      <c r="C20" s="112"/>
      <c r="D20" s="125">
        <f>SUM(D16:D19)</f>
        <v>26.839999999999996</v>
      </c>
      <c r="E20" s="125">
        <f>SUM(E16:E19)</f>
        <v>23.24</v>
      </c>
      <c r="F20" s="125">
        <f>SUM(F16:F19)</f>
        <v>100.01</v>
      </c>
      <c r="G20" s="125">
        <f>SUM(G16:G19)</f>
        <v>695.56000000000006</v>
      </c>
      <c r="H20" s="128"/>
      <c r="I20" s="128"/>
      <c r="J20" s="128"/>
      <c r="K20" s="128"/>
      <c r="L20" s="128"/>
      <c r="M20" s="128"/>
      <c r="N20" s="128"/>
      <c r="O20" s="128"/>
    </row>
    <row r="21" spans="1:16" s="155" customFormat="1" x14ac:dyDescent="0.25">
      <c r="A21" s="111" t="s">
        <v>15</v>
      </c>
      <c r="B21" s="112"/>
      <c r="C21" s="112"/>
      <c r="D21" s="115">
        <f>D13+D20</f>
        <v>32.61</v>
      </c>
      <c r="E21" s="115">
        <f>E13+E20</f>
        <v>39.26</v>
      </c>
      <c r="F21" s="115">
        <f>F13+F20</f>
        <v>155.06</v>
      </c>
      <c r="G21" s="115">
        <f>G13+G20</f>
        <v>1040.56</v>
      </c>
      <c r="H21" s="128"/>
      <c r="I21" s="128"/>
      <c r="J21" s="128"/>
      <c r="K21" s="128"/>
      <c r="L21" s="128"/>
      <c r="M21" s="128"/>
      <c r="N21" s="128"/>
      <c r="O21" s="128"/>
    </row>
    <row r="22" spans="1:16" s="155" customFormat="1" ht="15.75" thickBo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6" ht="39" thickBot="1" x14ac:dyDescent="0.3">
      <c r="A23" s="55"/>
      <c r="B23" s="270" t="s">
        <v>41</v>
      </c>
      <c r="C23" s="271"/>
      <c r="D23" s="271"/>
      <c r="E23" s="272"/>
      <c r="F23" s="276" t="s">
        <v>42</v>
      </c>
      <c r="G23" s="277"/>
      <c r="H23" s="278"/>
      <c r="I23" s="151" t="s">
        <v>43</v>
      </c>
      <c r="K23" s="55"/>
      <c r="L23" s="55"/>
      <c r="M23" s="55"/>
      <c r="N23" s="55"/>
      <c r="O23" s="55"/>
    </row>
    <row r="24" spans="1:16" ht="15.75" thickBot="1" x14ac:dyDescent="0.3">
      <c r="A24" s="43"/>
      <c r="B24" s="273"/>
      <c r="C24" s="274"/>
      <c r="D24" s="274"/>
      <c r="E24" s="275"/>
      <c r="F24" s="152" t="s">
        <v>1</v>
      </c>
      <c r="G24" s="152" t="s">
        <v>2</v>
      </c>
      <c r="H24" s="152" t="s">
        <v>3</v>
      </c>
      <c r="I24" s="153"/>
      <c r="K24" s="55"/>
      <c r="L24" s="45"/>
      <c r="M24" s="45"/>
      <c r="N24" s="45"/>
      <c r="O24" s="45"/>
      <c r="P24" s="55"/>
    </row>
    <row r="25" spans="1:16" ht="15.75" customHeight="1" thickBot="1" x14ac:dyDescent="0.3">
      <c r="A25" s="43"/>
      <c r="B25" s="265" t="s">
        <v>45</v>
      </c>
      <c r="C25" s="266"/>
      <c r="D25" s="266"/>
      <c r="E25" s="267"/>
      <c r="F25" s="152" t="s">
        <v>46</v>
      </c>
      <c r="G25" s="152" t="s">
        <v>47</v>
      </c>
      <c r="H25" s="152" t="s">
        <v>48</v>
      </c>
      <c r="I25" s="152" t="s">
        <v>49</v>
      </c>
      <c r="K25" s="55"/>
      <c r="L25" s="45"/>
      <c r="M25" s="45"/>
      <c r="N25" s="45"/>
      <c r="O25" s="45"/>
      <c r="P25" s="55"/>
    </row>
    <row r="26" spans="1:16" ht="15.75" thickBot="1" x14ac:dyDescent="0.3">
      <c r="A26" s="55"/>
      <c r="B26" s="265" t="s">
        <v>44</v>
      </c>
      <c r="C26" s="266"/>
      <c r="D26" s="266"/>
      <c r="E26" s="267"/>
      <c r="F26" s="154">
        <f>D21</f>
        <v>32.61</v>
      </c>
      <c r="G26" s="154">
        <f>E21</f>
        <v>39.26</v>
      </c>
      <c r="H26" s="154">
        <f>F21</f>
        <v>155.06</v>
      </c>
      <c r="I26" s="154">
        <f>G21</f>
        <v>1040.56</v>
      </c>
      <c r="K26" s="55"/>
      <c r="L26" s="55"/>
      <c r="M26" s="55"/>
      <c r="N26" s="55"/>
      <c r="O26" s="55"/>
      <c r="P26" s="55"/>
    </row>
    <row r="27" spans="1:16" x14ac:dyDescent="0.25">
      <c r="A27" s="43"/>
      <c r="K27" s="55"/>
      <c r="L27" s="45"/>
      <c r="M27" s="45"/>
      <c r="N27" s="45"/>
      <c r="O27" s="45"/>
      <c r="P27" s="55"/>
    </row>
    <row r="28" spans="1:16" s="31" customForma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56"/>
    </row>
  </sheetData>
  <sheetProtection formatCells="0" formatColumns="0" formatRows="0" insertColumns="0" insertRows="0" insertHyperlinks="0" deleteColumns="0" deleteRows="0" sort="0" autoFilter="0" pivotTables="0"/>
  <mergeCells count="15">
    <mergeCell ref="B26:E26"/>
    <mergeCell ref="B25:E25"/>
    <mergeCell ref="A7:O7"/>
    <mergeCell ref="B23:E24"/>
    <mergeCell ref="F23:H23"/>
    <mergeCell ref="A14:O14"/>
    <mergeCell ref="A9:A11"/>
    <mergeCell ref="D10:O11"/>
    <mergeCell ref="L5:O5"/>
    <mergeCell ref="A5:A6"/>
    <mergeCell ref="B5:B6"/>
    <mergeCell ref="C5:C6"/>
    <mergeCell ref="D5:F5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horizontalDpi="4294967293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A34"/>
  <sheetViews>
    <sheetView view="pageBreakPreview" zoomScale="80" zoomScaleNormal="90" zoomScaleSheetLayoutView="80" workbookViewId="0">
      <selection activeCell="A12" sqref="A12:O12"/>
    </sheetView>
  </sheetViews>
  <sheetFormatPr defaultRowHeight="15" x14ac:dyDescent="0.25"/>
  <cols>
    <col min="1" max="1" width="13.140625" customWidth="1"/>
    <col min="2" max="2" width="31.140625" style="13" customWidth="1"/>
    <col min="7" max="7" width="13.140625" customWidth="1"/>
    <col min="8" max="8" width="10.85546875" customWidth="1"/>
    <col min="9" max="9" width="11.140625" customWidth="1"/>
    <col min="11" max="11" width="10.7109375" customWidth="1"/>
    <col min="13" max="13" width="9.5703125" bestFit="1" customWidth="1"/>
    <col min="17" max="27" width="9.140625" style="19"/>
  </cols>
  <sheetData>
    <row r="1" spans="1:27" ht="15.75" x14ac:dyDescent="0.25">
      <c r="A1" s="14" t="s">
        <v>32</v>
      </c>
      <c r="B1" s="13" t="s">
        <v>33</v>
      </c>
    </row>
    <row r="2" spans="1:27" ht="15.75" x14ac:dyDescent="0.25">
      <c r="A2" s="14" t="s">
        <v>34</v>
      </c>
      <c r="B2" s="13" t="s">
        <v>51</v>
      </c>
    </row>
    <row r="3" spans="1:27" ht="15.75" x14ac:dyDescent="0.25">
      <c r="A3" s="14"/>
    </row>
    <row r="4" spans="1:27" ht="15.75" x14ac:dyDescent="0.25">
      <c r="A4" s="14"/>
    </row>
    <row r="5" spans="1:27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  <c r="Q5"/>
      <c r="R5"/>
      <c r="S5"/>
      <c r="T5"/>
      <c r="U5"/>
      <c r="V5"/>
      <c r="W5"/>
      <c r="X5"/>
      <c r="Y5"/>
      <c r="Z5"/>
      <c r="AA5"/>
    </row>
    <row r="6" spans="1:27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7.25" customHeight="1" x14ac:dyDescent="0.2">
      <c r="A7" s="234" t="s">
        <v>30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12" customFormat="1" ht="12.75" x14ac:dyDescent="0.2">
      <c r="A8" s="9">
        <v>204</v>
      </c>
      <c r="B8" s="10" t="s">
        <v>76</v>
      </c>
      <c r="C8" s="9">
        <v>125</v>
      </c>
      <c r="D8" s="11">
        <v>12.41</v>
      </c>
      <c r="E8" s="11">
        <v>8.5</v>
      </c>
      <c r="F8" s="11">
        <v>53.04</v>
      </c>
      <c r="G8" s="11">
        <v>326.69</v>
      </c>
      <c r="H8" s="11">
        <v>0.15</v>
      </c>
      <c r="I8" s="11">
        <v>0.47</v>
      </c>
      <c r="J8" s="11">
        <v>0.1</v>
      </c>
      <c r="K8" s="11">
        <v>1.75</v>
      </c>
      <c r="L8" s="11">
        <v>193.64</v>
      </c>
      <c r="M8" s="11">
        <v>159.03</v>
      </c>
      <c r="N8" s="11">
        <v>20.85</v>
      </c>
      <c r="O8" s="11">
        <v>1.45</v>
      </c>
    </row>
    <row r="9" spans="1:27" s="76" customFormat="1" x14ac:dyDescent="0.25">
      <c r="A9" s="201">
        <v>2</v>
      </c>
      <c r="B9" s="10" t="s">
        <v>62</v>
      </c>
      <c r="C9" s="98">
        <v>60</v>
      </c>
      <c r="D9" s="109">
        <v>3.7</v>
      </c>
      <c r="E9" s="109">
        <v>8.5</v>
      </c>
      <c r="F9" s="109">
        <v>26.25</v>
      </c>
      <c r="G9" s="144">
        <v>155</v>
      </c>
      <c r="H9" s="109">
        <v>3.4000000000000002E-2</v>
      </c>
      <c r="I9" s="109"/>
      <c r="J9" s="109">
        <v>0.13</v>
      </c>
      <c r="K9" s="109">
        <v>0.44</v>
      </c>
      <c r="L9" s="109">
        <v>8.4</v>
      </c>
      <c r="M9" s="109">
        <v>22.5</v>
      </c>
      <c r="N9" s="109">
        <v>4.2</v>
      </c>
      <c r="O9" s="109">
        <v>0.35</v>
      </c>
      <c r="P9" s="95"/>
      <c r="Q9" s="95"/>
      <c r="R9" s="95"/>
      <c r="S9" s="95"/>
    </row>
    <row r="10" spans="1:27" s="73" customFormat="1" x14ac:dyDescent="0.2">
      <c r="A10" s="202"/>
      <c r="B10" s="52" t="s">
        <v>63</v>
      </c>
      <c r="C10" s="99">
        <v>50</v>
      </c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86"/>
      <c r="Q10" s="86"/>
      <c r="R10" s="96"/>
      <c r="S10" s="96"/>
    </row>
    <row r="11" spans="1:27" s="75" customFormat="1" x14ac:dyDescent="0.2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86"/>
      <c r="Q11" s="86"/>
      <c r="R11" s="97"/>
      <c r="S11" s="97"/>
    </row>
    <row r="12" spans="1:27" s="15" customFormat="1" x14ac:dyDescent="0.25">
      <c r="A12" s="141">
        <v>376</v>
      </c>
      <c r="B12" s="10" t="s">
        <v>73</v>
      </c>
      <c r="C12" s="162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100"/>
      <c r="Q12" s="55"/>
    </row>
    <row r="13" spans="1:27" s="31" customFormat="1" ht="16.149999999999999" customHeight="1" x14ac:dyDescent="0.2">
      <c r="A13" s="111" t="s">
        <v>11</v>
      </c>
      <c r="B13" s="112"/>
      <c r="C13" s="112"/>
      <c r="D13" s="125">
        <f>SUM(D8:D12)</f>
        <v>16.18</v>
      </c>
      <c r="E13" s="125">
        <f t="shared" ref="E13:G13" si="0">SUM(E8:E12)</f>
        <v>17.02</v>
      </c>
      <c r="F13" s="125">
        <f t="shared" si="0"/>
        <v>94.289999999999992</v>
      </c>
      <c r="G13" s="125">
        <f t="shared" si="0"/>
        <v>541.69000000000005</v>
      </c>
      <c r="H13" s="125"/>
      <c r="I13" s="125"/>
      <c r="J13" s="125"/>
      <c r="K13" s="125"/>
      <c r="L13" s="125"/>
      <c r="M13" s="125"/>
      <c r="N13" s="125"/>
      <c r="O13" s="125"/>
      <c r="Q13" s="56"/>
      <c r="R13" s="56"/>
      <c r="S13" s="60"/>
      <c r="T13" s="61"/>
      <c r="U13" s="61"/>
      <c r="V13" s="61"/>
      <c r="W13" s="62"/>
      <c r="X13" s="62"/>
      <c r="Y13" s="62"/>
      <c r="Z13" s="62"/>
      <c r="AA13" s="62"/>
    </row>
    <row r="14" spans="1:27" s="31" customFormat="1" ht="23.25" customHeight="1" x14ac:dyDescent="0.2">
      <c r="A14" s="279" t="s">
        <v>20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7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s="31" customFormat="1" ht="25.5" customHeight="1" x14ac:dyDescent="0.2">
      <c r="A15" s="16">
        <v>112</v>
      </c>
      <c r="B15" s="10" t="s">
        <v>55</v>
      </c>
      <c r="C15" s="16">
        <v>250</v>
      </c>
      <c r="D15" s="17">
        <f>10.27/4+0.8</f>
        <v>3.3674999999999997</v>
      </c>
      <c r="E15" s="17">
        <f>11.12/4+0.2</f>
        <v>2.98</v>
      </c>
      <c r="F15" s="17">
        <f>62.75/4</f>
        <v>15.6875</v>
      </c>
      <c r="G15" s="17">
        <f>436/4+5+30</f>
        <v>144</v>
      </c>
      <c r="H15" s="17">
        <f>0.37/4</f>
        <v>9.2499999999999999E-2</v>
      </c>
      <c r="I15" s="17">
        <f>24.3/4</f>
        <v>6.0750000000000002</v>
      </c>
      <c r="J15" s="17"/>
      <c r="K15" s="17">
        <f>5.8/4</f>
        <v>1.45</v>
      </c>
      <c r="L15" s="17">
        <f>118/4+2</f>
        <v>31.5</v>
      </c>
      <c r="M15" s="17">
        <f>230.9/4</f>
        <v>57.725000000000001</v>
      </c>
      <c r="N15" s="17">
        <f>95.2/4</f>
        <v>23.8</v>
      </c>
      <c r="O15" s="17">
        <f>4/4</f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15" customFormat="1" x14ac:dyDescent="0.25">
      <c r="A16" s="16">
        <v>260</v>
      </c>
      <c r="B16" s="10" t="s">
        <v>77</v>
      </c>
      <c r="C16" s="16">
        <v>100</v>
      </c>
      <c r="D16" s="17">
        <v>12.55</v>
      </c>
      <c r="E16" s="17">
        <v>12.99</v>
      </c>
      <c r="F16" s="17">
        <v>4.01</v>
      </c>
      <c r="G16" s="17">
        <v>182.25</v>
      </c>
      <c r="H16" s="17">
        <v>7.0000000000000007E-2</v>
      </c>
      <c r="I16" s="17">
        <v>5.07</v>
      </c>
      <c r="J16" s="17">
        <v>1.49</v>
      </c>
      <c r="K16" s="17">
        <v>2.25</v>
      </c>
      <c r="L16" s="17">
        <v>30.52</v>
      </c>
      <c r="M16" s="17">
        <v>119.19</v>
      </c>
      <c r="N16" s="17">
        <v>24.03</v>
      </c>
      <c r="O16" s="17">
        <v>2.1</v>
      </c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s="15" customFormat="1" x14ac:dyDescent="0.25">
      <c r="A17" s="16">
        <v>304</v>
      </c>
      <c r="B17" s="10" t="s">
        <v>16</v>
      </c>
      <c r="C17" s="16">
        <v>150</v>
      </c>
      <c r="D17" s="17">
        <f>24.34/20*3</f>
        <v>3.6510000000000002</v>
      </c>
      <c r="E17" s="17">
        <f>35.83/20*3</f>
        <v>5.3744999999999994</v>
      </c>
      <c r="F17" s="17">
        <f>244.56/20*3</f>
        <v>36.683999999999997</v>
      </c>
      <c r="G17" s="17">
        <f>1398/20*3</f>
        <v>209.70000000000002</v>
      </c>
      <c r="H17" s="17">
        <f>0.17/20*3</f>
        <v>2.5500000000000002E-2</v>
      </c>
      <c r="I17" s="17"/>
      <c r="J17" s="17"/>
      <c r="K17" s="17">
        <f>1.88/20*3</f>
        <v>0.28200000000000003</v>
      </c>
      <c r="L17" s="17">
        <f>9.1/20*3</f>
        <v>1.3649999999999998</v>
      </c>
      <c r="M17" s="17">
        <f>406.3/20*3</f>
        <v>60.945000000000007</v>
      </c>
      <c r="N17" s="17">
        <f>108.9/20*3</f>
        <v>16.335000000000001</v>
      </c>
      <c r="O17" s="17">
        <f>3.51/20*3</f>
        <v>0.52649999999999997</v>
      </c>
    </row>
    <row r="18" spans="1:27" s="15" customFormat="1" x14ac:dyDescent="0.25">
      <c r="A18" s="16">
        <v>377</v>
      </c>
      <c r="B18" s="10" t="s">
        <v>71</v>
      </c>
      <c r="C18" s="16" t="s">
        <v>72</v>
      </c>
      <c r="D18" s="17">
        <v>0.13</v>
      </c>
      <c r="E18" s="17">
        <v>0.02</v>
      </c>
      <c r="F18" s="17">
        <v>15.2</v>
      </c>
      <c r="G18" s="17">
        <v>62</v>
      </c>
      <c r="H18" s="17"/>
      <c r="I18" s="17">
        <v>2.83</v>
      </c>
      <c r="J18" s="17">
        <f>0</f>
        <v>0</v>
      </c>
      <c r="K18" s="17"/>
      <c r="L18" s="17">
        <v>14.2</v>
      </c>
      <c r="M18" s="17"/>
      <c r="N18" s="17">
        <v>2.4</v>
      </c>
      <c r="O18" s="17">
        <v>0.36</v>
      </c>
    </row>
    <row r="19" spans="1:27" s="15" customFormat="1" x14ac:dyDescent="0.25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27" s="12" customFormat="1" ht="16.149999999999999" customHeight="1" x14ac:dyDescent="0.2">
      <c r="A20" s="111" t="s">
        <v>11</v>
      </c>
      <c r="B20" s="112"/>
      <c r="C20" s="112"/>
      <c r="D20" s="125">
        <f>SUM(D15:D19)</f>
        <v>21.938499999999998</v>
      </c>
      <c r="E20" s="125">
        <f>SUM(E15:E19)</f>
        <v>22.244499999999999</v>
      </c>
      <c r="F20" s="125">
        <f>SUM(F15:F19)</f>
        <v>91.341499999999996</v>
      </c>
      <c r="G20" s="125">
        <f>SUM(G15:G19)</f>
        <v>689.91000000000008</v>
      </c>
      <c r="H20" s="125"/>
      <c r="I20" s="125"/>
      <c r="J20" s="125"/>
      <c r="K20" s="125"/>
      <c r="L20" s="125"/>
      <c r="M20" s="125"/>
      <c r="N20" s="125"/>
      <c r="O20" s="125"/>
      <c r="Q20" s="20"/>
      <c r="R20" s="20"/>
      <c r="S20" s="22"/>
      <c r="T20" s="23"/>
      <c r="U20" s="23"/>
      <c r="V20" s="23"/>
      <c r="W20" s="23"/>
      <c r="X20" s="23"/>
      <c r="Y20" s="23"/>
      <c r="Z20" s="23"/>
      <c r="AA20" s="23"/>
    </row>
    <row r="21" spans="1:27" s="12" customFormat="1" ht="15.75" customHeight="1" x14ac:dyDescent="0.2">
      <c r="A21" s="130" t="s">
        <v>15</v>
      </c>
      <c r="B21" s="131"/>
      <c r="C21" s="131"/>
      <c r="D21" s="115">
        <f>D13+D20</f>
        <v>38.118499999999997</v>
      </c>
      <c r="E21" s="115">
        <f>E13+E20</f>
        <v>39.264499999999998</v>
      </c>
      <c r="F21" s="115">
        <f>F13+F20</f>
        <v>185.63149999999999</v>
      </c>
      <c r="G21" s="115">
        <f>G13+G20</f>
        <v>1231.6000000000001</v>
      </c>
      <c r="H21" s="125"/>
      <c r="I21" s="125"/>
      <c r="J21" s="125"/>
      <c r="K21" s="125"/>
      <c r="L21" s="125"/>
      <c r="M21" s="125"/>
      <c r="N21" s="125"/>
      <c r="O21" s="125"/>
      <c r="Q21" s="20"/>
      <c r="R21" s="20"/>
      <c r="S21" s="24"/>
      <c r="T21" s="25"/>
      <c r="U21" s="25"/>
      <c r="V21" s="25"/>
      <c r="W21" s="25"/>
      <c r="X21" s="25"/>
      <c r="Y21" s="25"/>
      <c r="Z21" s="25"/>
      <c r="AA21" s="25"/>
    </row>
    <row r="22" spans="1:27" ht="15.75" thickBot="1" x14ac:dyDescent="0.3"/>
    <row r="23" spans="1:27" s="20" customFormat="1" ht="26.25" customHeight="1" thickBot="1" x14ac:dyDescent="0.25">
      <c r="A23" s="37"/>
      <c r="B23" s="180" t="s">
        <v>41</v>
      </c>
      <c r="C23" s="181"/>
      <c r="D23" s="181"/>
      <c r="E23" s="181"/>
      <c r="F23" s="222" t="s">
        <v>42</v>
      </c>
      <c r="G23" s="223"/>
      <c r="H23" s="224"/>
      <c r="I23" s="39" t="s">
        <v>43</v>
      </c>
      <c r="J23" s="38"/>
      <c r="K23" s="38"/>
      <c r="L23" s="38"/>
      <c r="M23" s="38"/>
      <c r="N23" s="38"/>
      <c r="O23" s="3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20" customFormat="1" ht="13.5" thickBot="1" x14ac:dyDescent="0.25">
      <c r="A24" s="37"/>
      <c r="B24" s="183"/>
      <c r="C24" s="184"/>
      <c r="D24" s="184"/>
      <c r="E24" s="184"/>
      <c r="F24" s="40" t="s">
        <v>1</v>
      </c>
      <c r="G24" s="40" t="s">
        <v>2</v>
      </c>
      <c r="H24" s="40" t="s">
        <v>3</v>
      </c>
      <c r="I24" s="41"/>
      <c r="J24" s="38"/>
      <c r="K24" s="38"/>
      <c r="L24" s="38"/>
      <c r="M24" s="38"/>
      <c r="N24" s="38"/>
      <c r="O24" s="38"/>
      <c r="Q24" s="21"/>
      <c r="R24" s="21"/>
      <c r="S24" s="21"/>
      <c r="T24" s="18"/>
      <c r="U24" s="18"/>
      <c r="V24" s="18"/>
      <c r="W24" s="18"/>
      <c r="X24" s="18"/>
      <c r="Y24" s="18"/>
      <c r="Z24" s="18"/>
      <c r="AA24" s="18"/>
    </row>
    <row r="25" spans="1:27" ht="15.75" thickBot="1" x14ac:dyDescent="0.3">
      <c r="B25" s="189" t="s">
        <v>45</v>
      </c>
      <c r="C25" s="190"/>
      <c r="D25" s="190"/>
      <c r="E25" s="190"/>
      <c r="F25" s="40" t="s">
        <v>46</v>
      </c>
      <c r="G25" s="40" t="s">
        <v>47</v>
      </c>
      <c r="H25" s="40" t="s">
        <v>48</v>
      </c>
      <c r="I25" s="40" t="s">
        <v>49</v>
      </c>
    </row>
    <row r="26" spans="1:27" ht="15.75" thickBot="1" x14ac:dyDescent="0.3">
      <c r="B26" s="189" t="s">
        <v>44</v>
      </c>
      <c r="C26" s="190"/>
      <c r="D26" s="190"/>
      <c r="E26" s="190"/>
      <c r="F26" s="42">
        <f>D21</f>
        <v>38.118499999999997</v>
      </c>
      <c r="G26" s="42">
        <f>E21</f>
        <v>39.264499999999998</v>
      </c>
      <c r="H26" s="42">
        <f>F21</f>
        <v>185.63149999999999</v>
      </c>
      <c r="I26" s="42">
        <f>G21</f>
        <v>1231.6000000000001</v>
      </c>
    </row>
    <row r="28" spans="1:27" x14ac:dyDescent="0.25">
      <c r="B28" s="103"/>
      <c r="C28" s="19"/>
      <c r="D28" s="19"/>
      <c r="E28" s="19"/>
      <c r="F28" s="19"/>
      <c r="G28" s="19"/>
      <c r="H28" s="19"/>
    </row>
    <row r="29" spans="1:27" x14ac:dyDescent="0.25">
      <c r="B29" s="103"/>
      <c r="C29" s="19"/>
      <c r="D29" s="19"/>
      <c r="E29" s="19"/>
      <c r="F29" s="19"/>
      <c r="G29" s="19"/>
      <c r="H29" s="19"/>
    </row>
    <row r="30" spans="1:27" x14ac:dyDescent="0.25">
      <c r="B30" s="103"/>
      <c r="C30" s="19"/>
      <c r="D30" s="19"/>
      <c r="E30" s="19"/>
      <c r="F30" s="19"/>
      <c r="G30" s="19"/>
      <c r="H30" s="19"/>
    </row>
    <row r="31" spans="1:27" x14ac:dyDescent="0.25">
      <c r="B31" s="103"/>
      <c r="C31" s="19"/>
      <c r="D31" s="19"/>
      <c r="E31" s="19"/>
      <c r="F31" s="19"/>
      <c r="G31" s="19"/>
      <c r="H31" s="19"/>
    </row>
    <row r="32" spans="1:27" x14ac:dyDescent="0.25">
      <c r="B32" s="103"/>
      <c r="C32" s="19"/>
      <c r="D32" s="19"/>
      <c r="E32" s="19"/>
      <c r="F32" s="19"/>
      <c r="G32" s="19"/>
      <c r="H32" s="19"/>
    </row>
    <row r="33" spans="2:8" x14ac:dyDescent="0.25">
      <c r="B33" s="103"/>
      <c r="C33" s="19"/>
      <c r="D33" s="19"/>
      <c r="E33" s="19"/>
      <c r="F33" s="19"/>
      <c r="G33" s="19"/>
      <c r="H33" s="19"/>
    </row>
    <row r="34" spans="2:8" x14ac:dyDescent="0.25">
      <c r="B34" s="103"/>
      <c r="C34" s="19"/>
      <c r="D34" s="19"/>
      <c r="E34" s="19"/>
      <c r="F34" s="19"/>
      <c r="G34" s="19"/>
      <c r="H34" s="19"/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9:A11"/>
    <mergeCell ref="A14:O14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27"/>
  <sheetViews>
    <sheetView view="pageBreakPreview" zoomScale="70" zoomScaleNormal="90" zoomScaleSheetLayoutView="70" workbookViewId="0">
      <selection activeCell="J17" sqref="J17"/>
    </sheetView>
  </sheetViews>
  <sheetFormatPr defaultRowHeight="15" x14ac:dyDescent="0.25"/>
  <cols>
    <col min="1" max="1" width="16" customWidth="1"/>
    <col min="2" max="2" width="25.28515625" customWidth="1"/>
    <col min="7" max="7" width="12" customWidth="1"/>
    <col min="8" max="8" width="10.5703125" customWidth="1"/>
    <col min="9" max="9" width="8.85546875" customWidth="1"/>
    <col min="10" max="10" width="8.140625" customWidth="1"/>
    <col min="13" max="13" width="9.5703125" bestFit="1" customWidth="1"/>
  </cols>
  <sheetData>
    <row r="1" spans="1:15" ht="15.75" x14ac:dyDescent="0.25">
      <c r="A1" s="14" t="s">
        <v>32</v>
      </c>
      <c r="B1" s="13" t="s">
        <v>36</v>
      </c>
    </row>
    <row r="2" spans="1:15" ht="15.75" x14ac:dyDescent="0.25">
      <c r="A2" s="14" t="s">
        <v>34</v>
      </c>
      <c r="B2" s="13" t="s">
        <v>51</v>
      </c>
    </row>
    <row r="3" spans="1:15" ht="15.75" x14ac:dyDescent="0.25">
      <c r="A3" s="14"/>
      <c r="B3" s="13"/>
    </row>
    <row r="4" spans="1:15" ht="15.75" x14ac:dyDescent="0.25">
      <c r="A4" s="14"/>
      <c r="B4" s="13"/>
    </row>
    <row r="5" spans="1:15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</row>
    <row r="6" spans="1:15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s="12" customFormat="1" ht="15.75" customHeight="1" x14ac:dyDescent="0.2">
      <c r="A7" s="234" t="s">
        <v>30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1:15" s="30" customFormat="1" ht="38.25" x14ac:dyDescent="0.2">
      <c r="A8" s="108">
        <v>390</v>
      </c>
      <c r="B8" s="10" t="s">
        <v>78</v>
      </c>
      <c r="C8" s="108" t="s">
        <v>79</v>
      </c>
      <c r="D8" s="17">
        <v>6.24</v>
      </c>
      <c r="E8" s="17">
        <v>6.1</v>
      </c>
      <c r="F8" s="17">
        <v>19.7</v>
      </c>
      <c r="G8" s="17">
        <v>158.63999999999999</v>
      </c>
      <c r="H8" s="17">
        <v>0.08</v>
      </c>
      <c r="I8" s="17">
        <v>1.0900000000000001</v>
      </c>
      <c r="J8" s="17">
        <v>36.72</v>
      </c>
      <c r="K8" s="17"/>
      <c r="L8" s="17">
        <v>192.17</v>
      </c>
      <c r="M8" s="17">
        <v>156.05000000000001</v>
      </c>
      <c r="N8" s="17">
        <v>23.52</v>
      </c>
      <c r="O8" s="17">
        <v>0.3</v>
      </c>
    </row>
    <row r="9" spans="1:15" s="15" customFormat="1" ht="25.5" x14ac:dyDescent="0.25">
      <c r="A9" s="201">
        <v>3</v>
      </c>
      <c r="B9" s="10" t="s">
        <v>52</v>
      </c>
      <c r="C9" s="16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</row>
    <row r="10" spans="1:15" s="15" customFormat="1" x14ac:dyDescent="0.25">
      <c r="A10" s="202"/>
      <c r="B10" s="64" t="s">
        <v>53</v>
      </c>
      <c r="C10" s="65">
        <v>30</v>
      </c>
      <c r="D10" s="204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6"/>
    </row>
    <row r="11" spans="1:15" s="15" customFormat="1" x14ac:dyDescent="0.25">
      <c r="A11" s="202"/>
      <c r="B11" s="64" t="s">
        <v>54</v>
      </c>
      <c r="C11" s="65">
        <v>5</v>
      </c>
      <c r="D11" s="207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</row>
    <row r="12" spans="1:15" s="15" customFormat="1" x14ac:dyDescent="0.25">
      <c r="A12" s="203"/>
      <c r="B12" s="64" t="s">
        <v>58</v>
      </c>
      <c r="C12" s="65">
        <v>15</v>
      </c>
      <c r="D12" s="210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2"/>
    </row>
    <row r="13" spans="1:15" s="15" customFormat="1" x14ac:dyDescent="0.25">
      <c r="A13" s="141">
        <v>376</v>
      </c>
      <c r="B13" s="10" t="s">
        <v>73</v>
      </c>
      <c r="C13" s="162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>
        <f>0.01/5</f>
        <v>2E-3</v>
      </c>
      <c r="I13" s="17">
        <v>0.03</v>
      </c>
      <c r="J13" s="17">
        <f>0</f>
        <v>0</v>
      </c>
      <c r="K13" s="17">
        <f>0</f>
        <v>0</v>
      </c>
      <c r="L13" s="17">
        <v>11.1</v>
      </c>
      <c r="M13" s="17"/>
      <c r="N13" s="17">
        <v>1.4</v>
      </c>
      <c r="O13" s="17">
        <v>0.28000000000000003</v>
      </c>
    </row>
    <row r="14" spans="1:15" s="31" customFormat="1" ht="16.149999999999999" customHeight="1" x14ac:dyDescent="0.2">
      <c r="A14" s="111" t="s">
        <v>11</v>
      </c>
      <c r="B14" s="112"/>
      <c r="C14" s="112"/>
      <c r="D14" s="125">
        <f>SUM(D8:D13)</f>
        <v>12.11</v>
      </c>
      <c r="E14" s="125">
        <f>SUM(E8:E13)</f>
        <v>14.42</v>
      </c>
      <c r="F14" s="125">
        <f>SUM(F8:F13)</f>
        <v>49.53</v>
      </c>
      <c r="G14" s="125">
        <f>SUM(G8:G13)</f>
        <v>375.64</v>
      </c>
      <c r="H14" s="114"/>
      <c r="I14" s="114"/>
      <c r="J14" s="114"/>
      <c r="K14" s="114"/>
      <c r="L14" s="114"/>
      <c r="M14" s="114"/>
      <c r="N14" s="114"/>
      <c r="O14" s="114"/>
    </row>
    <row r="15" spans="1:15" s="31" customFormat="1" ht="26.25" customHeight="1" x14ac:dyDescent="0.2">
      <c r="A15" s="236" t="s">
        <v>20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7"/>
    </row>
    <row r="16" spans="1:15" s="30" customFormat="1" ht="25.5" x14ac:dyDescent="0.2">
      <c r="A16" s="162">
        <v>102</v>
      </c>
      <c r="B16" s="10" t="s">
        <v>75</v>
      </c>
      <c r="C16" s="162">
        <v>250</v>
      </c>
      <c r="D16" s="17">
        <v>5.49</v>
      </c>
      <c r="E16" s="17">
        <v>5.28</v>
      </c>
      <c r="F16" s="17">
        <v>16.329999999999998</v>
      </c>
      <c r="G16" s="17">
        <v>134.75</v>
      </c>
      <c r="H16" s="17">
        <v>0.23</v>
      </c>
      <c r="I16" s="17">
        <v>5.81</v>
      </c>
      <c r="J16" s="17"/>
      <c r="K16" s="17"/>
      <c r="L16" s="17">
        <v>38.08</v>
      </c>
      <c r="M16" s="17">
        <v>87.18</v>
      </c>
      <c r="N16" s="17">
        <v>35.299999999999997</v>
      </c>
      <c r="O16" s="17">
        <v>2.0299999999999998</v>
      </c>
    </row>
    <row r="17" spans="1:15" s="30" customFormat="1" ht="25.5" x14ac:dyDescent="0.2">
      <c r="A17" s="16">
        <v>309</v>
      </c>
      <c r="B17" s="10" t="s">
        <v>12</v>
      </c>
      <c r="C17" s="16">
        <v>200</v>
      </c>
      <c r="D17" s="17">
        <f>36.78/100*20</f>
        <v>7.3559999999999999</v>
      </c>
      <c r="E17" s="17">
        <f>30.1/100*20</f>
        <v>6.02</v>
      </c>
      <c r="F17" s="17">
        <f>176.3/100*20</f>
        <v>35.260000000000005</v>
      </c>
      <c r="G17" s="17">
        <f>1123/100*20</f>
        <v>224.60000000000002</v>
      </c>
      <c r="H17" s="17">
        <f>0.37/100*20</f>
        <v>7.400000000000001E-2</v>
      </c>
      <c r="I17" s="17"/>
      <c r="J17" s="17"/>
      <c r="K17" s="17">
        <f>6.46/100*20</f>
        <v>1.292</v>
      </c>
      <c r="L17" s="17">
        <f>32.4/100*20</f>
        <v>6.48</v>
      </c>
      <c r="M17" s="17">
        <f>247.8/100*20</f>
        <v>49.56</v>
      </c>
      <c r="N17" s="17">
        <f>140.8/100*20</f>
        <v>28.160000000000004</v>
      </c>
      <c r="O17" s="17">
        <f>7.37/100*20</f>
        <v>1.474</v>
      </c>
    </row>
    <row r="18" spans="1:15" s="15" customFormat="1" x14ac:dyDescent="0.25">
      <c r="A18" s="16"/>
      <c r="B18" s="10" t="s">
        <v>67</v>
      </c>
      <c r="C18" s="16">
        <v>100</v>
      </c>
      <c r="D18" s="17">
        <v>10</v>
      </c>
      <c r="E18" s="17">
        <v>16</v>
      </c>
      <c r="F18" s="17">
        <v>3</v>
      </c>
      <c r="G18" s="17">
        <v>196</v>
      </c>
      <c r="H18" s="17"/>
      <c r="I18" s="17"/>
      <c r="J18" s="17"/>
      <c r="K18" s="17"/>
      <c r="L18" s="17"/>
      <c r="M18" s="17"/>
      <c r="N18" s="17"/>
      <c r="O18" s="17"/>
    </row>
    <row r="19" spans="1:15" s="15" customFormat="1" x14ac:dyDescent="0.25">
      <c r="A19" s="143">
        <v>349</v>
      </c>
      <c r="B19" s="10" t="s">
        <v>87</v>
      </c>
      <c r="C19" s="105">
        <v>200</v>
      </c>
      <c r="D19" s="106">
        <v>0.66</v>
      </c>
      <c r="E19" s="105">
        <v>0.09</v>
      </c>
      <c r="F19" s="106">
        <v>32.01</v>
      </c>
      <c r="G19" s="105">
        <v>132.80000000000001</v>
      </c>
      <c r="H19" s="106"/>
      <c r="I19" s="105">
        <v>0.73</v>
      </c>
      <c r="J19" s="106"/>
      <c r="K19" s="105"/>
      <c r="L19" s="106">
        <v>32.479999999999997</v>
      </c>
      <c r="M19" s="105"/>
      <c r="N19" s="106">
        <v>17.46</v>
      </c>
      <c r="O19" s="107">
        <v>0.7</v>
      </c>
    </row>
    <row r="20" spans="1:15" s="15" customFormat="1" x14ac:dyDescent="0.25">
      <c r="A20" s="52"/>
      <c r="B20" s="10" t="s">
        <v>14</v>
      </c>
      <c r="C20" s="16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5" s="31" customFormat="1" ht="15.75" customHeight="1" x14ac:dyDescent="0.2">
      <c r="A21" s="111" t="s">
        <v>11</v>
      </c>
      <c r="B21" s="112"/>
      <c r="C21" s="112"/>
      <c r="D21" s="125">
        <f>SUM(D17:D20)</f>
        <v>20.256</v>
      </c>
      <c r="E21" s="125">
        <f>SUM(E17:E20)</f>
        <v>22.99</v>
      </c>
      <c r="F21" s="125">
        <f>SUM(F17:F20)</f>
        <v>90.030000000000015</v>
      </c>
      <c r="G21" s="125">
        <f>SUM(G17:G20)</f>
        <v>645.36000000000013</v>
      </c>
      <c r="H21" s="125"/>
      <c r="I21" s="125"/>
      <c r="J21" s="125"/>
      <c r="K21" s="125"/>
      <c r="L21" s="125"/>
      <c r="M21" s="125"/>
      <c r="N21" s="125"/>
      <c r="O21" s="125"/>
    </row>
    <row r="22" spans="1:15" s="12" customFormat="1" ht="16.149999999999999" customHeight="1" x14ac:dyDescent="0.2">
      <c r="A22" s="132" t="s">
        <v>15</v>
      </c>
      <c r="B22" s="133"/>
      <c r="C22" s="134"/>
      <c r="D22" s="129">
        <f>D14+D21</f>
        <v>32.366</v>
      </c>
      <c r="E22" s="129">
        <f>E14+E21</f>
        <v>37.409999999999997</v>
      </c>
      <c r="F22" s="129">
        <f>F14+F21</f>
        <v>139.56</v>
      </c>
      <c r="G22" s="129">
        <f>G14+G21</f>
        <v>1021.0000000000001</v>
      </c>
      <c r="H22" s="125"/>
      <c r="I22" s="125"/>
      <c r="J22" s="125"/>
      <c r="K22" s="125"/>
      <c r="L22" s="125"/>
      <c r="M22" s="125"/>
      <c r="N22" s="125"/>
      <c r="O22" s="125"/>
    </row>
    <row r="23" spans="1:15" ht="15.75" thickBot="1" x14ac:dyDescent="0.3"/>
    <row r="24" spans="1:15" ht="39" thickBot="1" x14ac:dyDescent="0.3">
      <c r="B24" s="180" t="s">
        <v>41</v>
      </c>
      <c r="C24" s="181"/>
      <c r="D24" s="181"/>
      <c r="E24" s="181"/>
      <c r="F24" s="222" t="s">
        <v>42</v>
      </c>
      <c r="G24" s="223"/>
      <c r="H24" s="224"/>
      <c r="I24" s="39" t="s">
        <v>43</v>
      </c>
    </row>
    <row r="25" spans="1:15" ht="15.75" thickBot="1" x14ac:dyDescent="0.3">
      <c r="B25" s="183"/>
      <c r="C25" s="184"/>
      <c r="D25" s="184"/>
      <c r="E25" s="184"/>
      <c r="F25" s="40" t="s">
        <v>1</v>
      </c>
      <c r="G25" s="40" t="s">
        <v>2</v>
      </c>
      <c r="H25" s="40" t="s">
        <v>3</v>
      </c>
      <c r="I25" s="41"/>
    </row>
    <row r="26" spans="1:15" ht="15.75" thickBot="1" x14ac:dyDescent="0.3">
      <c r="B26" s="189" t="s">
        <v>45</v>
      </c>
      <c r="C26" s="190"/>
      <c r="D26" s="190"/>
      <c r="E26" s="190"/>
      <c r="F26" s="40" t="s">
        <v>46</v>
      </c>
      <c r="G26" s="40" t="s">
        <v>47</v>
      </c>
      <c r="H26" s="40" t="s">
        <v>48</v>
      </c>
      <c r="I26" s="40" t="s">
        <v>49</v>
      </c>
    </row>
    <row r="27" spans="1:15" ht="15.75" thickBot="1" x14ac:dyDescent="0.3">
      <c r="B27" s="189" t="s">
        <v>44</v>
      </c>
      <c r="C27" s="190"/>
      <c r="D27" s="190"/>
      <c r="E27" s="190"/>
      <c r="F27" s="42">
        <f>D22</f>
        <v>32.366</v>
      </c>
      <c r="G27" s="42">
        <f>E22</f>
        <v>37.409999999999997</v>
      </c>
      <c r="H27" s="42">
        <f>F22</f>
        <v>139.56</v>
      </c>
      <c r="I27" s="42">
        <f>G22</f>
        <v>1021.0000000000001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24:E25"/>
    <mergeCell ref="F24:H24"/>
    <mergeCell ref="B26:E26"/>
    <mergeCell ref="B27:E27"/>
    <mergeCell ref="A7:O7"/>
    <mergeCell ref="A9:A12"/>
    <mergeCell ref="D10:O12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horizontalDpi="4294967293" r:id="rId1"/>
  <rowBreaks count="1" manualBreakCount="1">
    <brk id="2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26"/>
  <sheetViews>
    <sheetView view="pageBreakPreview" zoomScale="80" zoomScaleNormal="100" zoomScaleSheetLayoutView="80" workbookViewId="0">
      <selection activeCell="M18" sqref="M18"/>
    </sheetView>
  </sheetViews>
  <sheetFormatPr defaultRowHeight="15" x14ac:dyDescent="0.25"/>
  <cols>
    <col min="1" max="1" width="12.7109375" customWidth="1"/>
    <col min="2" max="2" width="29.85546875" customWidth="1"/>
    <col min="6" max="6" width="10.7109375" bestFit="1" customWidth="1"/>
    <col min="7" max="7" width="9.5703125" bestFit="1" customWidth="1"/>
    <col min="9" max="9" width="9.5703125" bestFit="1" customWidth="1"/>
    <col min="10" max="10" width="8.85546875" customWidth="1"/>
    <col min="12" max="12" width="10.28515625" customWidth="1"/>
    <col min="13" max="13" width="10.42578125" customWidth="1"/>
  </cols>
  <sheetData>
    <row r="1" spans="1:19" ht="15.75" x14ac:dyDescent="0.25">
      <c r="A1" s="14" t="s">
        <v>32</v>
      </c>
      <c r="B1" s="13" t="s">
        <v>37</v>
      </c>
    </row>
    <row r="2" spans="1:19" ht="15.75" x14ac:dyDescent="0.25">
      <c r="A2" s="14" t="s">
        <v>34</v>
      </c>
      <c r="B2" s="13" t="s">
        <v>51</v>
      </c>
    </row>
    <row r="3" spans="1:19" ht="15.75" x14ac:dyDescent="0.25">
      <c r="A3" s="14"/>
      <c r="B3" s="13"/>
    </row>
    <row r="4" spans="1:19" ht="15.75" x14ac:dyDescent="0.25">
      <c r="A4" s="14"/>
      <c r="B4" s="13"/>
    </row>
    <row r="5" spans="1:19" ht="15.75" x14ac:dyDescent="0.25">
      <c r="A5" s="218" t="s">
        <v>25</v>
      </c>
      <c r="B5" s="218" t="s">
        <v>19</v>
      </c>
      <c r="C5" s="218" t="s">
        <v>21</v>
      </c>
      <c r="D5" s="215" t="s">
        <v>28</v>
      </c>
      <c r="E5" s="216"/>
      <c r="F5" s="217"/>
      <c r="G5" s="218" t="s">
        <v>0</v>
      </c>
      <c r="H5" s="215" t="s">
        <v>27</v>
      </c>
      <c r="I5" s="216"/>
      <c r="J5" s="216"/>
      <c r="K5" s="217"/>
      <c r="L5" s="215" t="s">
        <v>26</v>
      </c>
      <c r="M5" s="216"/>
      <c r="N5" s="216"/>
      <c r="O5" s="217"/>
    </row>
    <row r="6" spans="1:19" ht="15.75" x14ac:dyDescent="0.25">
      <c r="A6" s="219"/>
      <c r="B6" s="220"/>
      <c r="C6" s="221"/>
      <c r="D6" s="8" t="s">
        <v>1</v>
      </c>
      <c r="E6" s="8" t="s">
        <v>2</v>
      </c>
      <c r="F6" s="8" t="s">
        <v>3</v>
      </c>
      <c r="G6" s="219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225" t="s">
        <v>30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7"/>
    </row>
    <row r="8" spans="1:19" s="15" customFormat="1" ht="25.5" x14ac:dyDescent="0.25">
      <c r="A8" s="9">
        <v>182</v>
      </c>
      <c r="B8" s="10" t="s">
        <v>65</v>
      </c>
      <c r="C8" s="9">
        <v>220</v>
      </c>
      <c r="D8" s="138">
        <v>5.0999999999999996</v>
      </c>
      <c r="E8" s="138">
        <v>10.72</v>
      </c>
      <c r="F8" s="138">
        <v>33.42</v>
      </c>
      <c r="G8" s="139">
        <v>251</v>
      </c>
      <c r="H8" s="138">
        <v>0.06</v>
      </c>
      <c r="I8" s="138">
        <v>1.17</v>
      </c>
      <c r="J8" s="138">
        <v>58</v>
      </c>
      <c r="K8" s="138">
        <v>0.21</v>
      </c>
      <c r="L8" s="138">
        <v>130.09</v>
      </c>
      <c r="M8" s="138">
        <v>138.13999999999999</v>
      </c>
      <c r="N8" s="138">
        <v>30.12</v>
      </c>
      <c r="O8" s="138">
        <v>0.47</v>
      </c>
    </row>
    <row r="9" spans="1:19" s="73" customFormat="1" x14ac:dyDescent="0.2">
      <c r="A9" s="201">
        <v>2</v>
      </c>
      <c r="B9" s="10" t="s">
        <v>62</v>
      </c>
      <c r="C9" s="98">
        <v>60</v>
      </c>
      <c r="D9" s="109">
        <v>3.7</v>
      </c>
      <c r="E9" s="109">
        <v>8.5</v>
      </c>
      <c r="F9" s="109">
        <v>26.25</v>
      </c>
      <c r="G9" s="109">
        <v>155</v>
      </c>
      <c r="H9" s="109">
        <v>3.4000000000000002E-2</v>
      </c>
      <c r="I9" s="109"/>
      <c r="J9" s="109">
        <v>0.13</v>
      </c>
      <c r="K9" s="109">
        <v>0.44</v>
      </c>
      <c r="L9" s="109">
        <v>8.4</v>
      </c>
      <c r="M9" s="109">
        <v>22.5</v>
      </c>
      <c r="N9" s="109">
        <v>4.2</v>
      </c>
      <c r="O9" s="109">
        <v>0.35</v>
      </c>
      <c r="P9" s="86"/>
      <c r="Q9" s="86"/>
      <c r="R9" s="96"/>
      <c r="S9" s="96"/>
    </row>
    <row r="10" spans="1:19" s="75" customFormat="1" x14ac:dyDescent="0.2">
      <c r="A10" s="202"/>
      <c r="B10" s="52" t="s">
        <v>63</v>
      </c>
      <c r="C10" s="99">
        <v>50</v>
      </c>
      <c r="D10" s="22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0"/>
      <c r="P10" s="86"/>
      <c r="Q10" s="86"/>
      <c r="R10" s="97"/>
      <c r="S10" s="97"/>
    </row>
    <row r="11" spans="1:19" s="15" customFormat="1" x14ac:dyDescent="0.25">
      <c r="A11" s="203"/>
      <c r="B11" s="50" t="s">
        <v>54</v>
      </c>
      <c r="C11" s="99">
        <v>10</v>
      </c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</row>
    <row r="12" spans="1:19" s="31" customFormat="1" ht="16.149999999999999" customHeight="1" x14ac:dyDescent="0.2">
      <c r="A12" s="136">
        <v>376</v>
      </c>
      <c r="B12" s="10" t="s">
        <v>73</v>
      </c>
      <c r="C12" s="137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56"/>
      <c r="Q12" s="56"/>
    </row>
    <row r="13" spans="1:19" s="31" customFormat="1" ht="16.149999999999999" customHeight="1" x14ac:dyDescent="0.2">
      <c r="A13" s="111" t="s">
        <v>11</v>
      </c>
      <c r="B13" s="112"/>
      <c r="C13" s="112"/>
      <c r="D13" s="125">
        <f>SUM(D9:D12)</f>
        <v>3.77</v>
      </c>
      <c r="E13" s="125">
        <f>SUM(E9:E12)</f>
        <v>8.52</v>
      </c>
      <c r="F13" s="125">
        <f>SUM(F9:F12)</f>
        <v>41.25</v>
      </c>
      <c r="G13" s="125">
        <f>SUM(G9:G12)</f>
        <v>215</v>
      </c>
      <c r="H13" s="125"/>
      <c r="I13" s="125"/>
      <c r="J13" s="125"/>
      <c r="K13" s="125"/>
      <c r="L13" s="125"/>
      <c r="M13" s="125"/>
      <c r="N13" s="125"/>
      <c r="O13" s="125"/>
      <c r="P13" s="56"/>
      <c r="Q13" s="56"/>
    </row>
    <row r="14" spans="1:19" s="15" customFormat="1" ht="18.75" x14ac:dyDescent="0.25">
      <c r="A14" s="268" t="s">
        <v>20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</row>
    <row r="15" spans="1:19" s="15" customFormat="1" x14ac:dyDescent="0.25">
      <c r="A15" s="16">
        <v>87</v>
      </c>
      <c r="B15" s="10" t="s">
        <v>88</v>
      </c>
      <c r="C15" s="16">
        <v>250</v>
      </c>
      <c r="D15" s="17">
        <v>8.6</v>
      </c>
      <c r="E15" s="17">
        <v>8.41</v>
      </c>
      <c r="F15" s="17">
        <v>14.33</v>
      </c>
      <c r="G15" s="17">
        <v>172.25</v>
      </c>
      <c r="H15" s="17"/>
      <c r="I15" s="17">
        <v>9.11</v>
      </c>
      <c r="J15" s="17"/>
      <c r="K15" s="17"/>
      <c r="L15" s="17">
        <v>45.3</v>
      </c>
      <c r="M15" s="17"/>
      <c r="N15" s="17">
        <v>47.35</v>
      </c>
      <c r="O15" s="17">
        <v>1.27</v>
      </c>
    </row>
    <row r="16" spans="1:19" s="15" customFormat="1" x14ac:dyDescent="0.25">
      <c r="A16" s="170">
        <v>142</v>
      </c>
      <c r="B16" s="169" t="s">
        <v>89</v>
      </c>
      <c r="C16" s="170">
        <v>200</v>
      </c>
      <c r="D16" s="167">
        <v>4.32</v>
      </c>
      <c r="E16" s="167">
        <v>16.760000000000002</v>
      </c>
      <c r="F16" s="167">
        <v>30.2</v>
      </c>
      <c r="G16" s="167">
        <v>288</v>
      </c>
      <c r="H16" s="167"/>
      <c r="I16" s="167">
        <v>26.6</v>
      </c>
      <c r="J16" s="167"/>
      <c r="K16" s="167"/>
      <c r="L16" s="167">
        <v>43.4</v>
      </c>
      <c r="M16" s="167"/>
      <c r="N16" s="167">
        <v>41.92</v>
      </c>
      <c r="O16" s="167">
        <v>1.6</v>
      </c>
    </row>
    <row r="17" spans="1:15" s="30" customFormat="1" ht="12.75" x14ac:dyDescent="0.2">
      <c r="A17" s="171">
        <v>243</v>
      </c>
      <c r="B17" s="172" t="s">
        <v>90</v>
      </c>
      <c r="C17" s="171">
        <v>55</v>
      </c>
      <c r="D17" s="168">
        <v>7.77</v>
      </c>
      <c r="E17" s="168">
        <v>17.78</v>
      </c>
      <c r="F17" s="168">
        <v>0.98</v>
      </c>
      <c r="G17" s="168">
        <v>197.4</v>
      </c>
      <c r="H17" s="168"/>
      <c r="I17" s="168"/>
      <c r="J17" s="168"/>
      <c r="K17" s="168"/>
      <c r="L17" s="168">
        <v>19.600000000000001</v>
      </c>
      <c r="M17" s="168"/>
      <c r="N17" s="168">
        <v>11.2</v>
      </c>
      <c r="O17" s="168">
        <v>1.26</v>
      </c>
    </row>
    <row r="18" spans="1:15" s="15" customFormat="1" x14ac:dyDescent="0.25">
      <c r="A18" s="137">
        <v>342</v>
      </c>
      <c r="B18" s="10" t="s">
        <v>66</v>
      </c>
      <c r="C18" s="137">
        <v>200</v>
      </c>
      <c r="D18" s="17">
        <v>0.16</v>
      </c>
      <c r="E18" s="17">
        <v>0.16</v>
      </c>
      <c r="F18" s="17">
        <v>27.88</v>
      </c>
      <c r="G18" s="17">
        <v>114.6</v>
      </c>
      <c r="H18" s="17"/>
      <c r="I18" s="17">
        <v>0.9</v>
      </c>
      <c r="J18" s="17"/>
      <c r="K18" s="17"/>
      <c r="L18" s="17">
        <v>14.18</v>
      </c>
      <c r="M18" s="17"/>
      <c r="N18" s="17">
        <v>5.14</v>
      </c>
      <c r="O18" s="17">
        <v>0.95</v>
      </c>
    </row>
    <row r="19" spans="1:15" s="15" customFormat="1" x14ac:dyDescent="0.25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s="12" customFormat="1" ht="16.149999999999999" customHeight="1" x14ac:dyDescent="0.2">
      <c r="A20" s="111" t="s">
        <v>11</v>
      </c>
      <c r="B20" s="112"/>
      <c r="C20" s="112"/>
      <c r="D20" s="125">
        <f>SUM(D15:D19)</f>
        <v>23.089999999999996</v>
      </c>
      <c r="E20" s="125">
        <f>SUM(E15:E19)</f>
        <v>43.99</v>
      </c>
      <c r="F20" s="125">
        <f>SUM(F15:F19)</f>
        <v>93.15</v>
      </c>
      <c r="G20" s="125">
        <f>SUM(G15:G19)</f>
        <v>864.21</v>
      </c>
      <c r="H20" s="125"/>
      <c r="I20" s="125"/>
      <c r="J20" s="125"/>
      <c r="K20" s="125"/>
      <c r="L20" s="125"/>
      <c r="M20" s="125"/>
      <c r="N20" s="125"/>
      <c r="O20" s="125"/>
    </row>
    <row r="21" spans="1:15" ht="25.5" x14ac:dyDescent="0.25">
      <c r="A21" s="111" t="s">
        <v>15</v>
      </c>
      <c r="B21" s="112"/>
      <c r="C21" s="112"/>
      <c r="D21" s="115">
        <f>D13+D20</f>
        <v>26.859999999999996</v>
      </c>
      <c r="E21" s="115">
        <f>E13+E20</f>
        <v>52.510000000000005</v>
      </c>
      <c r="F21" s="115">
        <f>F13+F20</f>
        <v>134.4</v>
      </c>
      <c r="G21" s="115">
        <f>G13+G20</f>
        <v>1079.21</v>
      </c>
      <c r="H21" s="128"/>
      <c r="I21" s="128"/>
      <c r="J21" s="128"/>
      <c r="K21" s="128"/>
      <c r="L21" s="128"/>
      <c r="M21" s="128"/>
      <c r="N21" s="128"/>
      <c r="O21" s="128"/>
    </row>
    <row r="22" spans="1:15" s="15" customFormat="1" ht="15.75" thickBo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s="15" customFormat="1" ht="39" thickBot="1" x14ac:dyDescent="0.3">
      <c r="B23" s="180" t="s">
        <v>41</v>
      </c>
      <c r="C23" s="181"/>
      <c r="D23" s="181"/>
      <c r="E23" s="181"/>
      <c r="F23" s="222" t="s">
        <v>42</v>
      </c>
      <c r="G23" s="223"/>
      <c r="H23" s="224"/>
      <c r="I23" s="39" t="s">
        <v>43</v>
      </c>
    </row>
    <row r="24" spans="1:15" s="15" customFormat="1" ht="15.75" thickBot="1" x14ac:dyDescent="0.3">
      <c r="B24" s="183"/>
      <c r="C24" s="184"/>
      <c r="D24" s="184"/>
      <c r="E24" s="184"/>
      <c r="F24" s="40" t="s">
        <v>1</v>
      </c>
      <c r="G24" s="40" t="s">
        <v>2</v>
      </c>
      <c r="H24" s="40" t="s">
        <v>3</v>
      </c>
      <c r="I24" s="41"/>
    </row>
    <row r="25" spans="1:15" ht="15.75" thickBot="1" x14ac:dyDescent="0.3">
      <c r="A25" s="15"/>
      <c r="B25" s="189" t="s">
        <v>45</v>
      </c>
      <c r="C25" s="190"/>
      <c r="D25" s="190"/>
      <c r="E25" s="190"/>
      <c r="F25" s="40" t="s">
        <v>46</v>
      </c>
      <c r="G25" s="40" t="s">
        <v>47</v>
      </c>
      <c r="H25" s="40" t="s">
        <v>48</v>
      </c>
      <c r="I25" s="40" t="s">
        <v>49</v>
      </c>
      <c r="J25" s="15"/>
      <c r="K25" s="15"/>
      <c r="L25" s="15"/>
      <c r="M25" s="15"/>
      <c r="N25" s="15"/>
      <c r="O25" s="15"/>
    </row>
    <row r="26" spans="1:15" ht="15.75" thickBot="1" x14ac:dyDescent="0.3">
      <c r="B26" s="189" t="s">
        <v>44</v>
      </c>
      <c r="C26" s="190"/>
      <c r="D26" s="190"/>
      <c r="E26" s="190"/>
      <c r="F26" s="33">
        <f>D21</f>
        <v>26.859999999999996</v>
      </c>
      <c r="G26" s="33">
        <f>E21</f>
        <v>52.510000000000005</v>
      </c>
      <c r="H26" s="33">
        <f>F21</f>
        <v>134.4</v>
      </c>
      <c r="I26" s="33">
        <f>G21</f>
        <v>1079.21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14:O14"/>
    <mergeCell ref="A9:A11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 10 день</vt:lpstr>
      <vt:lpstr>' 10 день'!Область_печати</vt:lpstr>
      <vt:lpstr>'1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-</cp:lastModifiedBy>
  <cp:lastPrinted>2023-10-18T20:46:50Z</cp:lastPrinted>
  <dcterms:created xsi:type="dcterms:W3CDTF">2017-02-04T19:31:45Z</dcterms:created>
  <dcterms:modified xsi:type="dcterms:W3CDTF">2023-10-23T05:23:10Z</dcterms:modified>
  <cp:contentStatus/>
</cp:coreProperties>
</file>